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356" windowWidth="16275" windowHeight="10830" activeTab="0"/>
  </bookViews>
  <sheets>
    <sheet name="Renew-Replace Schedule " sheetId="1" r:id="rId1"/>
    <sheet name="Data" sheetId="2" r:id="rId2"/>
    <sheet name="Sample Renew-Replace Schedule" sheetId="3" r:id="rId3"/>
  </sheets>
  <definedNames>
    <definedName name="_xlnm.Print_Area" localSheetId="0">'Renew-Replace Schedule '!$A$1:$O$30</definedName>
  </definedNames>
  <calcPr fullCalcOnLoad="1"/>
</workbook>
</file>

<file path=xl/sharedStrings.xml><?xml version="1.0" encoding="utf-8"?>
<sst xmlns="http://schemas.openxmlformats.org/spreadsheetml/2006/main" count="157" uniqueCount="69">
  <si>
    <t>CIP FY</t>
  </si>
  <si>
    <t>Building System Appraisal (List taken from Appendix A of EED Preventive Maintenance Handbook)</t>
  </si>
  <si>
    <t>Deferred Project</t>
  </si>
  <si>
    <t>Attach Survey if included in CIP</t>
  </si>
  <si>
    <t>Total Costs by System (in dollars)</t>
  </si>
  <si>
    <t>Facility or Building</t>
  </si>
  <si>
    <t>System</t>
  </si>
  <si>
    <t>Year Installed</t>
  </si>
  <si>
    <t>Remain-ing Life Span</t>
  </si>
  <si>
    <t>Year work req'd</t>
  </si>
  <si>
    <t>Year
 1</t>
  </si>
  <si>
    <t>Year
 2</t>
  </si>
  <si>
    <t>Year
 3</t>
  </si>
  <si>
    <t>Year
 4</t>
  </si>
  <si>
    <t>Year
 5</t>
  </si>
  <si>
    <t>Year
 6</t>
  </si>
  <si>
    <t>Name and/or Number</t>
  </si>
  <si>
    <t>Site Improvements</t>
  </si>
  <si>
    <t>EED #</t>
  </si>
  <si>
    <t>Site Utilities</t>
  </si>
  <si>
    <t>Dist. #</t>
  </si>
  <si>
    <t>Foundation/Substruct.</t>
  </si>
  <si>
    <t>Superstructure</t>
  </si>
  <si>
    <t>Gross Square Footage</t>
  </si>
  <si>
    <t>Exterior Wall System</t>
  </si>
  <si>
    <t>Exterior Windows</t>
  </si>
  <si>
    <t>Exterior Doors</t>
  </si>
  <si>
    <t>Number of Stories</t>
  </si>
  <si>
    <t>Roof Systems</t>
  </si>
  <si>
    <t>Interior Partitions</t>
  </si>
  <si>
    <t xml:space="preserve">Interior Doors </t>
  </si>
  <si>
    <t>Building or Facility Use</t>
  </si>
  <si>
    <t>Interior Floor Finishes</t>
  </si>
  <si>
    <t>Interior Wall Finishes</t>
  </si>
  <si>
    <t>Interior Ceiling Finishes</t>
  </si>
  <si>
    <t>Specialties</t>
  </si>
  <si>
    <t>Conveying Systems</t>
  </si>
  <si>
    <t>Plumbing piping</t>
  </si>
  <si>
    <t>NOTES</t>
  </si>
  <si>
    <t>Plumbing Fixtures</t>
  </si>
  <si>
    <t>Fire Protect./Suppres.</t>
  </si>
  <si>
    <t>HVAC Distribution</t>
  </si>
  <si>
    <t>HVAC Equipment</t>
  </si>
  <si>
    <t>HVAC Controls</t>
  </si>
  <si>
    <t>Electrical Serv./Gen.</t>
  </si>
  <si>
    <t>Electrical Distribution</t>
  </si>
  <si>
    <t>Electrical Lighting</t>
  </si>
  <si>
    <t>Special Electrical</t>
  </si>
  <si>
    <t>Equip and Furnishings</t>
  </si>
  <si>
    <t>Totals</t>
  </si>
  <si>
    <t>Six Year Total</t>
  </si>
  <si>
    <t>Life Expect</t>
  </si>
  <si>
    <t>% cost   1-story</t>
  </si>
  <si>
    <t>% cost   2-story</t>
  </si>
  <si>
    <t>n/a</t>
  </si>
  <si>
    <t>xxxx-xxx</t>
  </si>
  <si>
    <t>Facility Cost Index</t>
  </si>
  <si>
    <t xml:space="preserve">Replacement Value </t>
  </si>
  <si>
    <t>K-12</t>
  </si>
  <si>
    <t>1 STORY</t>
  </si>
  <si>
    <t>Means</t>
  </si>
  <si>
    <t>2 STORY</t>
  </si>
  <si>
    <t>Current Dollar Value of Systems/Components that require Renewal or Replacement during Year 
(in thousands of dollars)</t>
  </si>
  <si>
    <t>xxxxxxxx</t>
  </si>
  <si>
    <t>Alaska Elementary School</t>
  </si>
  <si>
    <t>Instructions for completion:</t>
  </si>
  <si>
    <t>1.  Enter data into green shaded areas beginning with cell B1.</t>
  </si>
  <si>
    <t>3.  If 50% or more of a system is renewed, update the year installed.</t>
  </si>
  <si>
    <t>2.  Only complete "year installed" if the system exists in the facility.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</si>
</sst>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00_);_(* \(#,##0.000\);_(* &quot;-&quot;??_);_(@_)"/>
    <numFmt numFmtId="173" formatCode="&quot;$&quot;#,##0"/>
    <numFmt numFmtId="174" formatCode="yyyy"/>
    <numFmt numFmtId="175" formatCode="0_);\(0\)"/>
    <numFmt numFmtId="176" formatCode="&quot;$&quot;#,##0.00;\(&quot;$&quot;#,##0.00\)"/>
    <numFmt numFmtId="177" formatCode="&quot;$&quot;#,##0.00"/>
    <numFmt numFmtId="178" formatCode="#,##0.0000000"/>
    <numFmt numFmtId="179" formatCode="#,##0.0"/>
  </numFmts>
  <fonts count="3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" borderId="1" applyNumberFormat="0" applyAlignment="0" applyProtection="0"/>
    <xf numFmtId="0" fontId="2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2" borderId="1" applyNumberFormat="0" applyAlignment="0" applyProtection="0"/>
    <xf numFmtId="0" fontId="30" fillId="0" borderId="6" applyNumberFormat="0" applyFill="0" applyAlignment="0" applyProtection="0"/>
    <xf numFmtId="0" fontId="31" fillId="23" borderId="0" applyNumberFormat="0" applyBorder="0" applyAlignment="0" applyProtection="0"/>
    <xf numFmtId="0" fontId="0" fillId="24" borderId="7" applyNumberFormat="0" applyFont="0" applyAlignment="0" applyProtection="0"/>
    <xf numFmtId="0" fontId="32" fillId="2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wrapText="1" shrinkToFit="1"/>
    </xf>
    <xf numFmtId="0" fontId="0" fillId="0" borderId="13" xfId="0" applyBorder="1" applyAlignment="1">
      <alignment horizontal="center" wrapText="1" shrinkToFi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left"/>
    </xf>
    <xf numFmtId="0" fontId="0" fillId="25" borderId="15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6" xfId="0" applyFill="1" applyBorder="1" applyAlignment="1">
      <alignment/>
    </xf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67" fontId="0" fillId="0" borderId="0" xfId="59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59" applyNumberFormat="1" applyFont="1" applyAlignment="1">
      <alignment/>
    </xf>
    <xf numFmtId="167" fontId="0" fillId="0" borderId="15" xfId="59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Alignment="1">
      <alignment/>
    </xf>
    <xf numFmtId="0" fontId="0" fillId="25" borderId="15" xfId="0" applyFill="1" applyBorder="1" applyAlignment="1" applyProtection="1">
      <alignment/>
      <protection/>
    </xf>
    <xf numFmtId="175" fontId="0" fillId="7" borderId="25" xfId="42" applyNumberFormat="1" applyFill="1" applyBorder="1" applyAlignment="1">
      <alignment/>
    </xf>
    <xf numFmtId="175" fontId="0" fillId="7" borderId="26" xfId="42" applyNumberFormat="1" applyFill="1" applyBorder="1" applyAlignment="1">
      <alignment/>
    </xf>
    <xf numFmtId="175" fontId="0" fillId="7" borderId="27" xfId="42" applyNumberFormat="1" applyFill="1" applyBorder="1" applyAlignment="1">
      <alignment/>
    </xf>
    <xf numFmtId="1" fontId="1" fillId="7" borderId="25" xfId="0" applyNumberFormat="1" applyFont="1" applyFill="1" applyBorder="1" applyAlignment="1">
      <alignment horizontal="center"/>
    </xf>
    <xf numFmtId="175" fontId="0" fillId="7" borderId="28" xfId="42" applyNumberFormat="1" applyFill="1" applyBorder="1" applyAlignment="1">
      <alignment/>
    </xf>
    <xf numFmtId="175" fontId="0" fillId="7" borderId="29" xfId="42" applyNumberFormat="1" applyFill="1" applyBorder="1" applyAlignment="1">
      <alignment/>
    </xf>
    <xf numFmtId="175" fontId="0" fillId="7" borderId="30" xfId="42" applyNumberFormat="1" applyFill="1" applyBorder="1" applyAlignment="1">
      <alignment/>
    </xf>
    <xf numFmtId="169" fontId="0" fillId="7" borderId="28" xfId="42" applyNumberFormat="1" applyFill="1" applyBorder="1" applyAlignment="1">
      <alignment/>
    </xf>
    <xf numFmtId="0" fontId="0" fillId="7" borderId="31" xfId="0" applyFill="1" applyBorder="1" applyAlignment="1">
      <alignment/>
    </xf>
    <xf numFmtId="1" fontId="1" fillId="7" borderId="28" xfId="0" applyNumberFormat="1" applyFont="1" applyFill="1" applyBorder="1" applyAlignment="1">
      <alignment horizontal="center"/>
    </xf>
    <xf numFmtId="0" fontId="0" fillId="25" borderId="32" xfId="0" applyFill="1" applyBorder="1" applyAlignment="1" applyProtection="1">
      <alignment/>
      <protection locked="0"/>
    </xf>
    <xf numFmtId="10" fontId="0" fillId="0" borderId="0" xfId="0" applyNumberFormat="1" applyAlignment="1">
      <alignment/>
    </xf>
    <xf numFmtId="10" fontId="0" fillId="0" borderId="13" xfId="59" applyNumberFormat="1" applyBorder="1" applyAlignment="1">
      <alignment/>
    </xf>
    <xf numFmtId="10" fontId="0" fillId="0" borderId="15" xfId="59" applyNumberFormat="1" applyBorder="1" applyAlignment="1">
      <alignment/>
    </xf>
    <xf numFmtId="10" fontId="0" fillId="0" borderId="24" xfId="0" applyNumberFormat="1" applyBorder="1" applyAlignment="1">
      <alignment/>
    </xf>
    <xf numFmtId="167" fontId="0" fillId="0" borderId="33" xfId="59" applyNumberFormat="1" applyFont="1" applyBorder="1" applyAlignment="1">
      <alignment horizontal="center"/>
    </xf>
    <xf numFmtId="10" fontId="0" fillId="0" borderId="12" xfId="59" applyNumberFormat="1" applyBorder="1" applyAlignment="1">
      <alignment/>
    </xf>
    <xf numFmtId="10" fontId="0" fillId="0" borderId="12" xfId="59" applyNumberFormat="1" applyFont="1" applyBorder="1" applyAlignment="1">
      <alignment/>
    </xf>
    <xf numFmtId="10" fontId="0" fillId="0" borderId="13" xfId="0" applyNumberFormat="1" applyBorder="1" applyAlignment="1">
      <alignment/>
    </xf>
    <xf numFmtId="10" fontId="0" fillId="0" borderId="34" xfId="0" applyNumberFormat="1" applyBorder="1" applyAlignment="1">
      <alignment/>
    </xf>
    <xf numFmtId="1" fontId="1" fillId="25" borderId="35" xfId="0" applyNumberFormat="1" applyFont="1" applyFill="1" applyBorder="1" applyAlignment="1">
      <alignment horizontal="left" vertical="center" wrapText="1"/>
    </xf>
    <xf numFmtId="0" fontId="0" fillId="7" borderId="36" xfId="0" applyFill="1" applyBorder="1" applyAlignment="1" applyProtection="1">
      <alignment/>
      <protection/>
    </xf>
    <xf numFmtId="0" fontId="0" fillId="7" borderId="37" xfId="0" applyFill="1" applyBorder="1" applyAlignment="1" applyProtection="1">
      <alignment/>
      <protection/>
    </xf>
    <xf numFmtId="1" fontId="0" fillId="7" borderId="38" xfId="0" applyNumberFormat="1" applyFill="1" applyBorder="1" applyAlignment="1" applyProtection="1">
      <alignment/>
      <protection/>
    </xf>
    <xf numFmtId="3" fontId="0" fillId="7" borderId="39" xfId="42" applyNumberFormat="1" applyFill="1" applyBorder="1" applyAlignment="1" applyProtection="1">
      <alignment/>
      <protection/>
    </xf>
    <xf numFmtId="3" fontId="0" fillId="7" borderId="39" xfId="0" applyNumberFormat="1" applyFill="1" applyBorder="1" applyAlignment="1" applyProtection="1">
      <alignment/>
      <protection/>
    </xf>
    <xf numFmtId="1" fontId="1" fillId="7" borderId="39" xfId="0" applyNumberFormat="1" applyFont="1" applyFill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0" xfId="0" applyBorder="1" applyAlignment="1" applyProtection="1">
      <alignment horizontal="left"/>
      <protection/>
    </xf>
    <xf numFmtId="0" fontId="0" fillId="0" borderId="38" xfId="0" applyBorder="1" applyAlignment="1" applyProtection="1">
      <alignment/>
      <protection/>
    </xf>
    <xf numFmtId="171" fontId="0" fillId="7" borderId="26" xfId="44" applyNumberFormat="1" applyFill="1" applyBorder="1" applyAlignment="1">
      <alignment/>
    </xf>
    <xf numFmtId="171" fontId="0" fillId="7" borderId="29" xfId="44" applyNumberFormat="1" applyFill="1" applyBorder="1" applyAlignment="1">
      <alignment/>
    </xf>
    <xf numFmtId="171" fontId="0" fillId="7" borderId="40" xfId="44" applyNumberFormat="1" applyFill="1" applyBorder="1" applyAlignment="1">
      <alignment/>
    </xf>
    <xf numFmtId="1" fontId="0" fillId="0" borderId="31" xfId="0" applyNumberFormat="1" applyFill="1" applyBorder="1" applyAlignment="1" applyProtection="1">
      <alignment/>
      <protection/>
    </xf>
    <xf numFmtId="1" fontId="0" fillId="0" borderId="30" xfId="0" applyNumberFormat="1" applyFill="1" applyBorder="1" applyAlignment="1">
      <alignment/>
    </xf>
    <xf numFmtId="3" fontId="0" fillId="0" borderId="28" xfId="42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1" fontId="1" fillId="0" borderId="28" xfId="0" applyNumberFormat="1" applyFont="1" applyFill="1" applyBorder="1" applyAlignment="1">
      <alignment horizontal="center"/>
    </xf>
    <xf numFmtId="171" fontId="0" fillId="0" borderId="29" xfId="44" applyNumberFormat="1" applyFill="1" applyBorder="1" applyAlignment="1">
      <alignment/>
    </xf>
    <xf numFmtId="169" fontId="0" fillId="0" borderId="41" xfId="0" applyNumberFormat="1" applyFill="1" applyBorder="1" applyAlignment="1">
      <alignment/>
    </xf>
    <xf numFmtId="37" fontId="1" fillId="0" borderId="42" xfId="0" applyNumberFormat="1" applyFont="1" applyFill="1" applyBorder="1" applyAlignment="1">
      <alignment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25" borderId="22" xfId="0" applyFill="1" applyBorder="1" applyAlignment="1" applyProtection="1">
      <alignment horizontal="left" vertical="top" wrapText="1"/>
      <protection locked="0"/>
    </xf>
    <xf numFmtId="0" fontId="0" fillId="25" borderId="43" xfId="0" applyFill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horizontal="center" textRotation="90" wrapText="1" shrinkToFit="1"/>
    </xf>
    <xf numFmtId="0" fontId="0" fillId="0" borderId="54" xfId="0" applyBorder="1" applyAlignment="1">
      <alignment horizontal="center" textRotation="90" wrapText="1" shrinkToFit="1"/>
    </xf>
    <xf numFmtId="171" fontId="1" fillId="0" borderId="55" xfId="44" applyNumberFormat="1" applyFont="1" applyFill="1" applyBorder="1" applyAlignment="1">
      <alignment horizontal="center"/>
    </xf>
    <xf numFmtId="171" fontId="1" fillId="0" borderId="56" xfId="44" applyNumberFormat="1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173" fontId="0" fillId="25" borderId="22" xfId="0" applyNumberFormat="1" applyFill="1" applyBorder="1" applyAlignment="1" applyProtection="1">
      <alignment horizontal="center" vertical="top"/>
      <protection locked="0"/>
    </xf>
    <xf numFmtId="173" fontId="0" fillId="25" borderId="43" xfId="0" applyNumberFormat="1" applyFill="1" applyBorder="1" applyAlignment="1" applyProtection="1">
      <alignment horizontal="center" vertical="top"/>
      <protection locked="0"/>
    </xf>
    <xf numFmtId="173" fontId="0" fillId="25" borderId="44" xfId="0" applyNumberFormat="1" applyFill="1" applyBorder="1" applyAlignment="1" applyProtection="1">
      <alignment horizontal="center" vertical="top"/>
      <protection locked="0"/>
    </xf>
    <xf numFmtId="173" fontId="0" fillId="25" borderId="45" xfId="0" applyNumberFormat="1" applyFill="1" applyBorder="1" applyAlignment="1" applyProtection="1">
      <alignment horizontal="center" vertical="top"/>
      <protection locked="0"/>
    </xf>
    <xf numFmtId="0" fontId="0" fillId="0" borderId="2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0" fillId="25" borderId="22" xfId="0" applyFill="1" applyBorder="1" applyAlignment="1" applyProtection="1">
      <alignment horizontal="center" vertical="top"/>
      <protection locked="0"/>
    </xf>
    <xf numFmtId="0" fontId="0" fillId="25" borderId="43" xfId="0" applyFill="1" applyBorder="1" applyAlignment="1" applyProtection="1">
      <alignment horizontal="center" vertical="top"/>
      <protection locked="0"/>
    </xf>
    <xf numFmtId="0" fontId="0" fillId="25" borderId="44" xfId="0" applyFill="1" applyBorder="1" applyAlignment="1" applyProtection="1">
      <alignment horizontal="center" vertical="top"/>
      <protection locked="0"/>
    </xf>
    <xf numFmtId="0" fontId="0" fillId="25" borderId="45" xfId="0" applyFill="1" applyBorder="1" applyAlignment="1" applyProtection="1">
      <alignment horizontal="center" vertical="top"/>
      <protection locked="0"/>
    </xf>
    <xf numFmtId="3" fontId="0" fillId="25" borderId="22" xfId="0" applyNumberFormat="1" applyFill="1" applyBorder="1" applyAlignment="1" applyProtection="1">
      <alignment horizontal="center" vertical="top"/>
      <protection locked="0"/>
    </xf>
    <xf numFmtId="3" fontId="0" fillId="25" borderId="43" xfId="0" applyNumberFormat="1" applyFill="1" applyBorder="1" applyAlignment="1" applyProtection="1">
      <alignment horizontal="center" vertical="top"/>
      <protection locked="0"/>
    </xf>
    <xf numFmtId="3" fontId="0" fillId="25" borderId="44" xfId="0" applyNumberFormat="1" applyFill="1" applyBorder="1" applyAlignment="1" applyProtection="1">
      <alignment horizontal="center" vertical="top"/>
      <protection locked="0"/>
    </xf>
    <xf numFmtId="3" fontId="0" fillId="25" borderId="45" xfId="0" applyNumberFormat="1" applyFill="1" applyBorder="1" applyAlignment="1" applyProtection="1">
      <alignment horizontal="center" vertical="top"/>
      <protection locked="0"/>
    </xf>
    <xf numFmtId="0" fontId="1" fillId="0" borderId="4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25" borderId="46" xfId="0" applyFill="1" applyBorder="1" applyAlignment="1" applyProtection="1">
      <alignment horizontal="center" vertical="center"/>
      <protection/>
    </xf>
    <xf numFmtId="0" fontId="0" fillId="25" borderId="47" xfId="0" applyFill="1" applyBorder="1" applyAlignment="1" applyProtection="1">
      <alignment horizontal="center" vertical="center"/>
      <protection/>
    </xf>
    <xf numFmtId="0" fontId="0" fillId="25" borderId="44" xfId="0" applyFill="1" applyBorder="1" applyAlignment="1" applyProtection="1">
      <alignment horizontal="center" vertical="center"/>
      <protection/>
    </xf>
    <xf numFmtId="0" fontId="0" fillId="25" borderId="45" xfId="0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selection activeCell="B1" sqref="B1"/>
    </sheetView>
  </sheetViews>
  <sheetFormatPr defaultColWidth="9.140625" defaultRowHeight="12.75"/>
  <cols>
    <col min="1" max="1" width="7.140625" style="0" customWidth="1"/>
    <col min="2" max="2" width="15.28125" style="0" customWidth="1"/>
    <col min="3" max="3" width="21.421875" style="0" customWidth="1"/>
    <col min="4" max="4" width="8.00390625" style="0" customWidth="1"/>
    <col min="5" max="5" width="7.421875" style="0" customWidth="1"/>
    <col min="6" max="6" width="5.421875" style="0" customWidth="1"/>
    <col min="7" max="14" width="6.7109375" style="0" customWidth="1"/>
    <col min="15" max="15" width="14.28125" style="0" customWidth="1"/>
    <col min="16" max="16" width="18.140625" style="0" customWidth="1"/>
    <col min="20" max="20" width="9.140625" style="17" customWidth="1"/>
    <col min="25" max="25" width="11.421875" style="0" customWidth="1"/>
    <col min="28" max="28" width="11.421875" style="0" customWidth="1"/>
  </cols>
  <sheetData>
    <row r="1" spans="1:15" s="2" customFormat="1" ht="39.75" customHeight="1" thickBot="1" thickTop="1">
      <c r="A1" s="1" t="s">
        <v>0</v>
      </c>
      <c r="B1" s="55">
        <v>2011</v>
      </c>
      <c r="C1" s="89" t="s">
        <v>1</v>
      </c>
      <c r="D1" s="90"/>
      <c r="E1" s="92"/>
      <c r="F1" s="89" t="s">
        <v>62</v>
      </c>
      <c r="G1" s="90"/>
      <c r="H1" s="90"/>
      <c r="I1" s="90"/>
      <c r="J1" s="90"/>
      <c r="K1" s="90"/>
      <c r="L1" s="91"/>
      <c r="M1" s="93" t="s">
        <v>2</v>
      </c>
      <c r="N1" s="93" t="s">
        <v>3</v>
      </c>
      <c r="O1" s="87" t="s">
        <v>4</v>
      </c>
    </row>
    <row r="2" spans="1:15" s="9" customFormat="1" ht="39" customHeight="1" thickTop="1">
      <c r="A2" s="117" t="s">
        <v>5</v>
      </c>
      <c r="B2" s="118"/>
      <c r="C2" s="3" t="s">
        <v>6</v>
      </c>
      <c r="D2" s="4" t="s">
        <v>7</v>
      </c>
      <c r="E2" s="5" t="s">
        <v>8</v>
      </c>
      <c r="F2" s="6" t="s">
        <v>9</v>
      </c>
      <c r="G2" s="7" t="s">
        <v>10</v>
      </c>
      <c r="H2" s="8" t="s">
        <v>11</v>
      </c>
      <c r="I2" s="8" t="s">
        <v>12</v>
      </c>
      <c r="J2" s="8" t="s">
        <v>13</v>
      </c>
      <c r="K2" s="8" t="s">
        <v>14</v>
      </c>
      <c r="L2" s="8" t="s">
        <v>15</v>
      </c>
      <c r="M2" s="94"/>
      <c r="N2" s="94"/>
      <c r="O2" s="88"/>
    </row>
    <row r="3" spans="1:20" ht="13.5" customHeight="1">
      <c r="A3" s="105" t="s">
        <v>16</v>
      </c>
      <c r="B3" s="106"/>
      <c r="C3" s="62" t="s">
        <v>17</v>
      </c>
      <c r="D3" s="35"/>
      <c r="E3" s="36"/>
      <c r="F3" s="37">
        <f aca="true" t="shared" si="0" ref="F3:F27">IF(E3="","",$B$1+(E3))</f>
      </c>
      <c r="G3" s="35">
        <f>B1</f>
        <v>2011</v>
      </c>
      <c r="H3" s="35">
        <f>G3+1</f>
        <v>2012</v>
      </c>
      <c r="I3" s="35">
        <f>H3+1</f>
        <v>2013</v>
      </c>
      <c r="J3" s="35">
        <f>I3+1</f>
        <v>2014</v>
      </c>
      <c r="K3" s="35">
        <f>J3+1</f>
        <v>2015</v>
      </c>
      <c r="L3" s="35">
        <f>K3+1</f>
        <v>2016</v>
      </c>
      <c r="M3" s="38">
        <f aca="true" t="shared" si="1" ref="M3:M27">IF(E3="","",IF(E3&lt;1,"X",""))</f>
      </c>
      <c r="N3" s="38">
        <f>IF(F3="","",IF((F3-(D3))&lt;Data!B4,"X",""))</f>
      </c>
      <c r="O3" s="66"/>
      <c r="T3"/>
    </row>
    <row r="4" spans="1:20" ht="13.5" customHeight="1">
      <c r="A4" s="10" t="s">
        <v>18</v>
      </c>
      <c r="B4" s="11"/>
      <c r="C4" s="63" t="s">
        <v>19</v>
      </c>
      <c r="D4" s="39"/>
      <c r="E4" s="40"/>
      <c r="F4" s="41">
        <f t="shared" si="0"/>
      </c>
      <c r="G4" s="42"/>
      <c r="H4" s="43"/>
      <c r="I4" s="43"/>
      <c r="J4" s="43"/>
      <c r="K4" s="43"/>
      <c r="L4" s="43"/>
      <c r="M4" s="44">
        <f t="shared" si="1"/>
      </c>
      <c r="N4" s="44">
        <f>IF(F4="","",IF((F4-(D4))&lt;Data!B5,"X",""))</f>
      </c>
      <c r="O4" s="67"/>
      <c r="T4"/>
    </row>
    <row r="5" spans="1:20" ht="13.5" customHeight="1">
      <c r="A5" s="10" t="s">
        <v>20</v>
      </c>
      <c r="B5" s="11"/>
      <c r="C5" s="63" t="s">
        <v>21</v>
      </c>
      <c r="D5" s="45"/>
      <c r="E5" s="69">
        <f>IF(D5&gt;1,Data!B6-(B$1-D5),"")</f>
      </c>
      <c r="F5" s="70">
        <f t="shared" si="0"/>
      </c>
      <c r="G5" s="71">
        <f>IF($E5="","",IF($E5&lt;=1,IF($A$11=1,$A$17*Data!$C6/1000,$A$17*Data!$D6/1000),""))</f>
      </c>
      <c r="H5" s="72">
        <f>IF($E5=2,IF($A$11=1,$A$17*Data!$C6/1000,$A$17*Data!$D6/1000),"")</f>
      </c>
      <c r="I5" s="72">
        <f>IF($E5=3,IF($A$11=1,$A$17*Data!$C6/1000,$A$17*Data!$D6/1000),"")</f>
      </c>
      <c r="J5" s="72">
        <f>IF($E5=4,IF($A$11=1,$A$17*Data!$C6/1000,$A$17*Data!$D6/1000),"")</f>
      </c>
      <c r="K5" s="72">
        <f>IF($E5=5,IF($A$11=1,$A$17*Data!$C6/1000,$A$17*Data!$D6/1000),"")</f>
      </c>
      <c r="L5" s="72">
        <f>IF($E5=6,IF($A$11=1,$A$17*Data!$C6/1000,$A$17*Data!$D6/1000),"")</f>
      </c>
      <c r="M5" s="73">
        <f t="shared" si="1"/>
      </c>
      <c r="N5" s="73">
        <f>IF(SUM(G5:L5)=0,"",IF((F5-D5)&lt;Data!B6,"X",""))</f>
      </c>
      <c r="O5" s="74">
        <f>IF(D5="","",IF($A$11=1,$A$17*Data!$C6,$A$17*Data!$D6))</f>
      </c>
      <c r="T5"/>
    </row>
    <row r="6" spans="1:20" ht="13.5" customHeight="1">
      <c r="A6" s="105"/>
      <c r="B6" s="106"/>
      <c r="C6" s="63" t="s">
        <v>22</v>
      </c>
      <c r="D6" s="45"/>
      <c r="E6" s="69">
        <f>IF(D6&gt;1,Data!B7-(B$1-D6),"")</f>
      </c>
      <c r="F6" s="70">
        <f t="shared" si="0"/>
      </c>
      <c r="G6" s="71">
        <f>IF($E6="","",IF($E6&lt;=1,IF($A$11=1,$A$17*Data!$C7/1000,$A$17*Data!$D7/1000),""))</f>
      </c>
      <c r="H6" s="72">
        <f>IF($E6=2,IF($A$11=1,$A$17*Data!$C7/1000,$A$17*Data!$D7/1000),"")</f>
      </c>
      <c r="I6" s="72">
        <f>IF($E6=3,IF($A$11=1,$A$17*Data!$C7/1000,$A$17*Data!$D7/1000),"")</f>
      </c>
      <c r="J6" s="72">
        <f>IF($E6=4,IF($A$11=1,$A$17*Data!$C7/1000,$A$17*Data!$D7/1000),"")</f>
      </c>
      <c r="K6" s="72">
        <f>IF($E6=5,IF($A$11=1,$A$17*Data!$C7/1000,$A$17*Data!$D7/1000),"")</f>
      </c>
      <c r="L6" s="72">
        <f>IF($E6=6,IF($A$11=1,$A$17*Data!$C7/1000,$A$17*Data!$D7/1000),"")</f>
      </c>
      <c r="M6" s="73">
        <f t="shared" si="1"/>
      </c>
      <c r="N6" s="73">
        <f>IF(SUM(G6:L6)=0,"",IF((F6-D6)&lt;Data!B7,"X",""))</f>
      </c>
      <c r="O6" s="74">
        <f>IF(D6="","",IF($A$11=1,$A$17*Data!$C7,$A$17*Data!$D7))</f>
      </c>
      <c r="T6"/>
    </row>
    <row r="7" spans="1:20" ht="13.5" customHeight="1">
      <c r="A7" s="85" t="s">
        <v>23</v>
      </c>
      <c r="B7" s="86"/>
      <c r="C7" s="63" t="s">
        <v>24</v>
      </c>
      <c r="D7" s="45"/>
      <c r="E7" s="69">
        <f>IF(D7&gt;1,Data!B8-(B$1-D7),"")</f>
      </c>
      <c r="F7" s="70">
        <f t="shared" si="0"/>
      </c>
      <c r="G7" s="71">
        <f>IF($E7="","",IF($E7&lt;=1,IF($A$11=1,$A$17*Data!$C8/1000,$A$17*Data!$D8/1000),""))</f>
      </c>
      <c r="H7" s="72">
        <f>IF($E7=2,IF($A$11=1,$A$17*Data!$C8/1000,$A$17*Data!$D8/1000),"")</f>
      </c>
      <c r="I7" s="72">
        <f>IF($E7=3,IF($A$11=1,$A$17*Data!$C8/1000,$A$17*Data!$D8/1000),"")</f>
      </c>
      <c r="J7" s="72">
        <f>IF($E7=4,IF($A$11=1,$A$17*Data!$C8/1000,$A$17*Data!$D8/1000),"")</f>
      </c>
      <c r="K7" s="72">
        <f>IF($E7=5,IF($A$11=1,$A$17*Data!$C8/1000,$A$17*Data!$D8/1000),"")</f>
      </c>
      <c r="L7" s="72">
        <f>IF($E7=6,IF($A$11=1,$A$17*Data!$C8/1000,$A$17*Data!$D8/1000),"")</f>
      </c>
      <c r="M7" s="73">
        <f t="shared" si="1"/>
      </c>
      <c r="N7" s="73">
        <f>IF(SUM(G7:L7)=0,"",IF((F7-D7)&lt;Data!B8,"X",""))</f>
      </c>
      <c r="O7" s="74">
        <f>IF(D7="","",IF($A$11=1,$A$17*Data!$C8,$A$17*Data!$D8))</f>
      </c>
      <c r="T7"/>
    </row>
    <row r="8" spans="1:20" ht="13.5" customHeight="1">
      <c r="A8" s="113"/>
      <c r="B8" s="114"/>
      <c r="C8" s="63" t="s">
        <v>25</v>
      </c>
      <c r="D8" s="45"/>
      <c r="E8" s="69">
        <f>IF(D8&gt;1,Data!B9-(B$1-D8),"")</f>
      </c>
      <c r="F8" s="70">
        <f t="shared" si="0"/>
      </c>
      <c r="G8" s="71">
        <f>IF($E8="","",IF($E8&lt;=1,IF($A$11=1,$A$17*Data!$C9/1000,$A$17*Data!$D9/1000),""))</f>
      </c>
      <c r="H8" s="72">
        <f>IF($E8=2,IF($A$11=1,$A$17*Data!$C9/1000,$A$17*Data!$D9/1000),"")</f>
      </c>
      <c r="I8" s="72">
        <f>IF($E8=3,IF($A$11=1,$A$17*Data!$C9/1000,$A$17*Data!$D9/1000),"")</f>
      </c>
      <c r="J8" s="72">
        <f>IF($E8=4,IF($A$11=1,$A$17*Data!$C9/1000,$A$17*Data!$D9/1000),"")</f>
      </c>
      <c r="K8" s="72">
        <f>IF($E8=5,IF($A$11=1,$A$17*Data!$C9/1000,$A$17*Data!$D9/1000),"")</f>
      </c>
      <c r="L8" s="72">
        <f>IF($E8=6,IF($A$11=1,$A$17*Data!$C9/1000,$A$17*Data!$D9/1000),"")</f>
      </c>
      <c r="M8" s="73">
        <f t="shared" si="1"/>
      </c>
      <c r="N8" s="73">
        <f>IF(SUM(G8:L8)=0,"",IF((F8-D8)&lt;Data!B9,"X",""))</f>
      </c>
      <c r="O8" s="74">
        <f>IF(D8="","",IF($A$11=1,$A$17*Data!$C9,$A$17*Data!$D9))</f>
      </c>
      <c r="T8"/>
    </row>
    <row r="9" spans="1:20" ht="13.5" customHeight="1">
      <c r="A9" s="115"/>
      <c r="B9" s="116"/>
      <c r="C9" s="63" t="s">
        <v>26</v>
      </c>
      <c r="D9" s="45"/>
      <c r="E9" s="69">
        <f>IF(D9&gt;1,Data!B10-(B$1-D9),"")</f>
      </c>
      <c r="F9" s="70">
        <f t="shared" si="0"/>
      </c>
      <c r="G9" s="71">
        <f>IF($E9="","",IF($E9&lt;=1,IF($A$11=1,$A$17*Data!$C10/1000,$A$17*Data!$D10/1000),""))</f>
      </c>
      <c r="H9" s="72">
        <f>IF($E9=2,IF($A$11=1,$A$17*Data!$C10/1000,$A$17*Data!$D10/1000),"")</f>
      </c>
      <c r="I9" s="72">
        <f>IF($E9=3,IF($A$11=1,$A$17*Data!$C10/1000,$A$17*Data!$D10/1000),"")</f>
      </c>
      <c r="J9" s="72">
        <f>IF($E9=4,IF($A$11=1,$A$17*Data!$C10/1000,$A$17*Data!$D10/1000),"")</f>
      </c>
      <c r="K9" s="72">
        <f>IF($E9=5,IF($A$11=1,$A$17*Data!$C10/1000,$A$17*Data!$D10/1000),"")</f>
      </c>
      <c r="L9" s="72">
        <f>IF($E9=6,IF($A$11=1,$A$17*Data!$C10/1000,$A$17*Data!$D10/1000),"")</f>
      </c>
      <c r="M9" s="73">
        <f t="shared" si="1"/>
      </c>
      <c r="N9" s="73">
        <f>IF(SUM(G9:L9)=0,"",IF((F9-D9)&lt;Data!B10,"X",""))</f>
      </c>
      <c r="O9" s="74">
        <f>IF(D9="","",IF($A$11=1,$A$17*Data!$C10,$A$17*Data!$D10))</f>
      </c>
      <c r="T9"/>
    </row>
    <row r="10" spans="1:20" ht="13.5" customHeight="1">
      <c r="A10" s="97" t="s">
        <v>27</v>
      </c>
      <c r="B10" s="98"/>
      <c r="C10" s="63" t="s">
        <v>28</v>
      </c>
      <c r="D10" s="45"/>
      <c r="E10" s="69">
        <f>IF(D10&gt;1,Data!B11-(B$1-D10),"")</f>
      </c>
      <c r="F10" s="70">
        <f t="shared" si="0"/>
      </c>
      <c r="G10" s="71">
        <f>IF($E10="","",IF($E10&lt;=1,IF($A$11=1,$A$17*Data!$C11/1000,$A$17*Data!$D11/1000),""))</f>
      </c>
      <c r="H10" s="72">
        <f>IF($E10=2,IF($A$11=1,$A$17*Data!$C11/1000,$A$17*Data!$D11/1000),"")</f>
      </c>
      <c r="I10" s="72">
        <f>IF($E10=3,IF($A$11=1,$A$17*Data!$C11/1000,$A$17*Data!$D11/1000),"")</f>
      </c>
      <c r="J10" s="72">
        <f>IF($E10=4,IF($A$11=1,$A$17*Data!$C11/1000,$A$17*Data!$D11/1000),"")</f>
      </c>
      <c r="K10" s="72">
        <f>IF($E10=5,IF($A$11=1,$A$17*Data!$C11/1000,$A$17*Data!$D11/1000),"")</f>
      </c>
      <c r="L10" s="72">
        <f>IF($E10=6,IF($A$11=1,$A$17*Data!$C11/1000,$A$17*Data!$D11/1000),"")</f>
      </c>
      <c r="M10" s="73">
        <f t="shared" si="1"/>
      </c>
      <c r="N10" s="73">
        <f>IF(SUM(G10:L10)=0,"",IF((F10-D10)&lt;Data!B11,"X",""))</f>
      </c>
      <c r="O10" s="74">
        <f>IF(D10="","",IF($A$11=1,$A$17*Data!$C11,$A$17*Data!$D11))</f>
      </c>
      <c r="T10"/>
    </row>
    <row r="11" spans="1:20" ht="13.5" customHeight="1">
      <c r="A11" s="109"/>
      <c r="B11" s="110"/>
      <c r="C11" s="63" t="s">
        <v>29</v>
      </c>
      <c r="D11" s="45"/>
      <c r="E11" s="69">
        <f>IF(D11&gt;1,Data!B12-(B$1-D11),"")</f>
      </c>
      <c r="F11" s="70">
        <f t="shared" si="0"/>
      </c>
      <c r="G11" s="71">
        <f>IF($E11="","",IF($E11&lt;=1,IF($A$11=1,$A$17*Data!$C12/1000,$A$17*Data!$D12/1000),""))</f>
      </c>
      <c r="H11" s="72">
        <f>IF($E11=2,IF($A$11=1,$A$17*Data!$C12/1000,$A$17*Data!$D12/1000),"")</f>
      </c>
      <c r="I11" s="72">
        <f>IF($E11=3,IF($A$11=1,$A$17*Data!$C12/1000,$A$17*Data!$D12/1000),"")</f>
      </c>
      <c r="J11" s="72">
        <f>IF($E11=4,IF($A$11=1,$A$17*Data!$C12/1000,$A$17*Data!$D12/1000),"")</f>
      </c>
      <c r="K11" s="72">
        <f>IF($E11=5,IF($A$11=1,$A$17*Data!$C12/1000,$A$17*Data!$D12/1000),"")</f>
      </c>
      <c r="L11" s="72">
        <f>IF($E11=6,IF($A$11=1,$A$17*Data!$C12/1000,$A$17*Data!$D12/1000),"")</f>
      </c>
      <c r="M11" s="73">
        <f t="shared" si="1"/>
      </c>
      <c r="N11" s="73">
        <f>IF(SUM(G11:L11)=0,"",IF((F11-D11)&lt;Data!B12,"X",""))</f>
      </c>
      <c r="O11" s="74">
        <f>IF(D11="","",IF($A$11=1,$A$17*Data!$C12,$A$17*Data!$D12))</f>
      </c>
      <c r="T11"/>
    </row>
    <row r="12" spans="1:20" ht="13.5" customHeight="1">
      <c r="A12" s="111"/>
      <c r="B12" s="112"/>
      <c r="C12" s="63" t="s">
        <v>30</v>
      </c>
      <c r="D12" s="45"/>
      <c r="E12" s="69">
        <f>IF(D12&gt;1,Data!B13-(B$1-D12),"")</f>
      </c>
      <c r="F12" s="70">
        <f t="shared" si="0"/>
      </c>
      <c r="G12" s="71">
        <f>IF($E12="","",IF($E12&lt;=1,IF($A$11=1,$A$17*Data!$C13/1000,$A$17*Data!$D13/1000),""))</f>
      </c>
      <c r="H12" s="72">
        <f>IF($E12=2,IF($A$11=1,$A$17*Data!$C13/1000,$A$17*Data!$D13/1000),"")</f>
      </c>
      <c r="I12" s="72">
        <f>IF($E12=3,IF($A$11=1,$A$17*Data!$C13/1000,$A$17*Data!$D13/1000),"")</f>
      </c>
      <c r="J12" s="72">
        <f>IF($E12=4,IF($A$11=1,$A$17*Data!$C13/1000,$A$17*Data!$D13/1000),"")</f>
      </c>
      <c r="K12" s="72">
        <f>IF($E12=5,IF($A$11=1,$A$17*Data!$C13/1000,$A$17*Data!$D13/1000),"")</f>
      </c>
      <c r="L12" s="72">
        <f>IF($E12=6,IF($A$11=1,$A$17*Data!$C13/1000,$A$17*Data!$D13/1000),"")</f>
      </c>
      <c r="M12" s="73">
        <f t="shared" si="1"/>
      </c>
      <c r="N12" s="73">
        <f>IF(SUM(G12:L12)=0,"",IF((F12-D12)&lt;Data!B13,"X",""))</f>
      </c>
      <c r="O12" s="74">
        <f>IF(D12="","",IF($A$11=1,$A$17*Data!$C13,$A$17*Data!$D13))</f>
      </c>
      <c r="T12"/>
    </row>
    <row r="13" spans="1:20" ht="13.5" customHeight="1">
      <c r="A13" s="85" t="s">
        <v>31</v>
      </c>
      <c r="B13" s="86"/>
      <c r="C13" s="63" t="s">
        <v>32</v>
      </c>
      <c r="D13" s="45"/>
      <c r="E13" s="69">
        <f>IF(D13&gt;1,Data!B14-(B$1-D13),"")</f>
      </c>
      <c r="F13" s="70">
        <f t="shared" si="0"/>
      </c>
      <c r="G13" s="71">
        <f>IF($E13="","",IF($E13&lt;=1,IF($A$11=1,$A$17*Data!$C14/1000,$A$17*Data!$D14/1000),""))</f>
      </c>
      <c r="H13" s="72">
        <f>IF($E13=2,IF($A$11=1,$A$17*Data!$C14/1000,$A$17*Data!$D14/1000),"")</f>
      </c>
      <c r="I13" s="72">
        <f>IF($E13=3,IF($A$11=1,$A$17*Data!$C14/1000,$A$17*Data!$D14/1000),"")</f>
      </c>
      <c r="J13" s="72">
        <f>IF($E13=4,IF($A$11=1,$A$17*Data!$C14/1000,$A$17*Data!$D14/1000),"")</f>
      </c>
      <c r="K13" s="72">
        <f>IF($E13=5,IF($A$11=1,$A$17*Data!$C14/1000,$A$17*Data!$D14/1000),"")</f>
      </c>
      <c r="L13" s="72">
        <f>IF($E13=6,IF($A$11=1,$A$17*Data!$C14/1000,$A$17*Data!$D14/1000),"")</f>
      </c>
      <c r="M13" s="73">
        <f t="shared" si="1"/>
      </c>
      <c r="N13" s="73">
        <f>IF(SUM(G13:L13)=0,"",IF((F13-D13)&lt;Data!B14,"X",""))</f>
      </c>
      <c r="O13" s="74">
        <f>IF(D13="","",IF($A$11=1,$A$17*Data!$C14,$A$17*Data!$D14))</f>
      </c>
      <c r="T13"/>
    </row>
    <row r="14" spans="1:20" ht="13.5" customHeight="1">
      <c r="A14" s="79"/>
      <c r="B14" s="80"/>
      <c r="C14" s="63" t="s">
        <v>33</v>
      </c>
      <c r="D14" s="45"/>
      <c r="E14" s="69">
        <f>IF(D14&gt;1,Data!B15-(B$1-D14),"")</f>
      </c>
      <c r="F14" s="70">
        <f t="shared" si="0"/>
      </c>
      <c r="G14" s="71">
        <f>IF($E14="","",IF($E14&lt;=1,IF($A$11=1,$A$17*Data!$C15/1000,$A$17*Data!$D15/1000),""))</f>
      </c>
      <c r="H14" s="72">
        <f>IF($E14=2,IF($A$11=1,$A$17*Data!$C15/1000,$A$17*Data!$D15/1000),"")</f>
      </c>
      <c r="I14" s="72">
        <f>IF($E14=3,IF($A$11=1,$A$17*Data!$C15/1000,$A$17*Data!$D15/1000),"")</f>
      </c>
      <c r="J14" s="72">
        <f>IF($E14=4,IF($A$11=1,$A$17*Data!$C15/1000,$A$17*Data!$D15/1000),"")</f>
      </c>
      <c r="K14" s="72">
        <f>IF($E14=5,IF($A$11=1,$A$17*Data!$C15/1000,$A$17*Data!$D15/1000),"")</f>
      </c>
      <c r="L14" s="72">
        <f>IF($E14=6,IF($A$11=1,$A$17*Data!$C15/1000,$A$17*Data!$D15/1000),"")</f>
      </c>
      <c r="M14" s="73">
        <f t="shared" si="1"/>
      </c>
      <c r="N14" s="73">
        <f>IF(SUM(G14:L14)=0,"",IF((F14-D14)&lt;Data!B15,"X",""))</f>
      </c>
      <c r="O14" s="74">
        <f>IF(D14="","",IF($A$11=1,$A$17*Data!$C15,$A$17*Data!$D15))</f>
      </c>
      <c r="T14"/>
    </row>
    <row r="15" spans="1:20" ht="13.5" customHeight="1">
      <c r="A15" s="83"/>
      <c r="B15" s="84"/>
      <c r="C15" s="63" t="s">
        <v>34</v>
      </c>
      <c r="D15" s="45"/>
      <c r="E15" s="69">
        <f>IF(D15&gt;1,Data!B16-(B$1-D15),"")</f>
      </c>
      <c r="F15" s="70">
        <f t="shared" si="0"/>
      </c>
      <c r="G15" s="71">
        <f>IF($E15="","",IF($E15&lt;=1,IF($A$11=1,$A$17*Data!$C16/1000,$A$17*Data!$D16/1000),""))</f>
      </c>
      <c r="H15" s="72">
        <f>IF($E15=2,IF($A$11=1,$A$17*Data!$C16/1000,$A$17*Data!$D16/1000),"")</f>
      </c>
      <c r="I15" s="72">
        <f>IF($E15=3,IF($A$11=1,$A$17*Data!$C16/1000,$A$17*Data!$D16/1000),"")</f>
      </c>
      <c r="J15" s="72">
        <f>IF($E15=4,IF($A$11=1,$A$17*Data!$C16/1000,$A$17*Data!$D16/1000),"")</f>
      </c>
      <c r="K15" s="72">
        <f>IF($E15=5,IF($A$11=1,$A$17*Data!$C16/1000,$A$17*Data!$D16/1000),"")</f>
      </c>
      <c r="L15" s="72">
        <f>IF($E15=6,IF($A$11=1,$A$17*Data!$C16/1000,$A$17*Data!$D16/1000),"")</f>
      </c>
      <c r="M15" s="73">
        <f t="shared" si="1"/>
      </c>
      <c r="N15" s="73">
        <f>IF(SUM(G15:L15)=0,"",IF((F15-D15)&lt;Data!B16,"X",""))</f>
      </c>
      <c r="O15" s="74">
        <f>IF(D15="","",IF($A$11=1,$A$17*Data!$C16,$A$17*Data!$D16))</f>
      </c>
      <c r="T15"/>
    </row>
    <row r="16" spans="1:20" ht="13.5" customHeight="1">
      <c r="A16" s="99" t="s">
        <v>57</v>
      </c>
      <c r="B16" s="100"/>
      <c r="C16" s="63" t="s">
        <v>35</v>
      </c>
      <c r="D16" s="45"/>
      <c r="E16" s="69">
        <f>IF(D16&gt;1,Data!B17-(B$1-D16),"")</f>
      </c>
      <c r="F16" s="70">
        <f t="shared" si="0"/>
      </c>
      <c r="G16" s="71">
        <f>IF($E16="","",IF($E16&lt;=1,IF($A$11=1,$A$17*Data!$C17/1000,$A$17*Data!$D17/1000),""))</f>
      </c>
      <c r="H16" s="72">
        <f>IF($E16=2,IF($A$11=1,$A$17*Data!$C17/1000,$A$17*Data!$D17/1000),"")</f>
      </c>
      <c r="I16" s="72">
        <f>IF($E16=3,IF($A$11=1,$A$17*Data!$C17/1000,$A$17*Data!$D17/1000),"")</f>
      </c>
      <c r="J16" s="72">
        <f>IF($E16=4,IF($A$11=1,$A$17*Data!$C17/1000,$A$17*Data!$D17/1000),"")</f>
      </c>
      <c r="K16" s="72">
        <f>IF($E16=5,IF($A$11=1,$A$17*Data!$C17/1000,$A$17*Data!$D17/1000),"")</f>
      </c>
      <c r="L16" s="72">
        <f>IF($E16=6,IF($A$11=1,$A$17*Data!$C17/1000,$A$17*Data!$D17/1000),"")</f>
      </c>
      <c r="M16" s="73">
        <f t="shared" si="1"/>
      </c>
      <c r="N16" s="73">
        <f>IF(SUM(G16:L16)=0,"",IF((F16-D16)&lt;Data!B17,"X",""))</f>
      </c>
      <c r="O16" s="74">
        <f>IF(D16="","",IF($A$11=1,$A$17*Data!$C17,$A$17*Data!$D17))</f>
      </c>
      <c r="T16"/>
    </row>
    <row r="17" spans="1:20" ht="13.5" customHeight="1">
      <c r="A17" s="101"/>
      <c r="B17" s="102"/>
      <c r="C17" s="64" t="s">
        <v>36</v>
      </c>
      <c r="D17" s="45"/>
      <c r="E17" s="69">
        <f>IF(D17&gt;1,Data!B18-(B$1-D17),"")</f>
      </c>
      <c r="F17" s="70">
        <f t="shared" si="0"/>
      </c>
      <c r="G17" s="71">
        <f>IF($E17="","",IF($E17&lt;=1,IF($A$11=1,$A$17*Data!$C18/1000,$A$17*Data!$D18/1000),""))</f>
      </c>
      <c r="H17" s="72">
        <f>IF($E17=2,IF($A$11=1,$A$17*Data!$C18/1000,$A$17*Data!$D18/1000),"")</f>
      </c>
      <c r="I17" s="72">
        <f>IF($E17=3,IF($A$11=1,$A$17*Data!$C18/1000,$A$17*Data!$D18/1000),"")</f>
      </c>
      <c r="J17" s="72">
        <f>IF($E17=4,IF($A$11=1,$A$17*Data!$C18/1000,$A$17*Data!$D18/1000),"")</f>
      </c>
      <c r="K17" s="72">
        <f>IF($E17=5,IF($A$11=1,$A$17*Data!$C18/1000,$A$17*Data!$D18/1000),"")</f>
      </c>
      <c r="L17" s="72">
        <f>IF($E17=6,IF($A$11=1,$A$17*Data!$C18/1000,$A$17*Data!$D18/1000),"")</f>
      </c>
      <c r="M17" s="73">
        <f t="shared" si="1"/>
      </c>
      <c r="N17" s="73">
        <f>IF(SUM(G17:L17)=0,"",IF((F17-D17)&lt;Data!B18,"X",""))</f>
      </c>
      <c r="O17" s="74">
        <f>IF(D17="","",IF($A$11=1,$A$17*Data!$C18,$A$17*Data!$D18))</f>
      </c>
      <c r="T17"/>
    </row>
    <row r="18" spans="1:20" ht="13.5" customHeight="1">
      <c r="A18" s="103"/>
      <c r="B18" s="104"/>
      <c r="C18" s="63" t="s">
        <v>37</v>
      </c>
      <c r="D18" s="45"/>
      <c r="E18" s="69">
        <f>IF(D18&gt;1,Data!B19-(B$1-D18),"")</f>
      </c>
      <c r="F18" s="70">
        <f t="shared" si="0"/>
      </c>
      <c r="G18" s="71">
        <f>IF($E18="","",IF($E18&lt;=1,IF($A$11=1,$A$17*Data!$C19/1000,$A$17*Data!$D19/1000),""))</f>
      </c>
      <c r="H18" s="72">
        <f>IF($E18=2,IF($A$11=1,$A$17*Data!$C19/1000,$A$17*Data!$D19/1000),"")</f>
      </c>
      <c r="I18" s="72">
        <f>IF($E18=3,IF($A$11=1,$A$17*Data!$C19/1000,$A$17*Data!$D19/1000),"")</f>
      </c>
      <c r="J18" s="72">
        <f>IF($E18=4,IF($A$11=1,$A$17*Data!$C19/1000,$A$17*Data!$D19/1000),"")</f>
      </c>
      <c r="K18" s="72">
        <f>IF($E18=5,IF($A$11=1,$A$17*Data!$C19/1000,$A$17*Data!$D19/1000),"")</f>
      </c>
      <c r="L18" s="72">
        <f>IF($E18=6,IF($A$11=1,$A$17*Data!$C19/1000,$A$17*Data!$D19/1000),"")</f>
      </c>
      <c r="M18" s="73">
        <f t="shared" si="1"/>
      </c>
      <c r="N18" s="73">
        <f>IF(SUM(G18:L18)=0,"",IF((F18-D18)&lt;Data!B19,"X",""))</f>
      </c>
      <c r="O18" s="74">
        <f>IF(D18="","",IF($A$11=1,$A$17*Data!$C19,$A$17*Data!$D19))</f>
      </c>
      <c r="T18"/>
    </row>
    <row r="19" spans="1:20" ht="13.5" customHeight="1">
      <c r="A19" s="105" t="s">
        <v>38</v>
      </c>
      <c r="B19" s="106"/>
      <c r="C19" s="63" t="s">
        <v>39</v>
      </c>
      <c r="D19" s="45"/>
      <c r="E19" s="69">
        <f>IF(D19&gt;1,Data!B20-(B$1-D19),"")</f>
      </c>
      <c r="F19" s="70">
        <f t="shared" si="0"/>
      </c>
      <c r="G19" s="71">
        <f>IF($E19="","",IF($E19&lt;=1,IF($A$11=1,$A$17*Data!$C20/1000,$A$17*Data!$D20/1000),""))</f>
      </c>
      <c r="H19" s="72">
        <f>IF($E19=2,IF($A$11=1,$A$17*Data!$C20/1000,$A$17*Data!$D20/1000),"")</f>
      </c>
      <c r="I19" s="72">
        <f>IF($E19=3,IF($A$11=1,$A$17*Data!$C20/1000,$A$17*Data!$D20/1000),"")</f>
      </c>
      <c r="J19" s="72">
        <f>IF($E19=4,IF($A$11=1,$A$17*Data!$C20/1000,$A$17*Data!$D20/1000),"")</f>
      </c>
      <c r="K19" s="72">
        <f>IF($E19=5,IF($A$11=1,$A$17*Data!$C20/1000,$A$17*Data!$D20/1000),"")</f>
      </c>
      <c r="L19" s="72">
        <f>IF($E19=6,IF($A$11=1,$A$17*Data!$C20/1000,$A$17*Data!$D20/1000),"")</f>
      </c>
      <c r="M19" s="73">
        <f t="shared" si="1"/>
      </c>
      <c r="N19" s="73">
        <f>IF(SUM(G19:L19)=0,"",IF((F19-D19)&lt;Data!B20,"X",""))</f>
      </c>
      <c r="O19" s="74">
        <f>IF(D19="","",IF($A$11=1,$A$17*Data!$C20,$A$17*Data!$D20))</f>
      </c>
      <c r="T19"/>
    </row>
    <row r="20" spans="1:20" ht="13.5" customHeight="1">
      <c r="A20" s="79"/>
      <c r="B20" s="80"/>
      <c r="C20" s="63" t="s">
        <v>40</v>
      </c>
      <c r="D20" s="45"/>
      <c r="E20" s="69">
        <f>IF(D20&gt;1,Data!B21-(B$1-D20),"")</f>
      </c>
      <c r="F20" s="70">
        <f t="shared" si="0"/>
      </c>
      <c r="G20" s="71">
        <f>IF($E20="","",IF($E20&lt;=1,IF($A$11=1,$A$17*Data!$C21/1000,$A$17*Data!$D21/1000),""))</f>
      </c>
      <c r="H20" s="72">
        <f>IF($E20=2,IF($A$11=1,$A$17*Data!$C21/1000,$A$17*Data!$D21/1000),"")</f>
      </c>
      <c r="I20" s="72">
        <f>IF($E20=3,IF($A$11=1,$A$17*Data!$C21/1000,$A$17*Data!$D21/1000),"")</f>
      </c>
      <c r="J20" s="72">
        <f>IF($E20=4,IF($A$11=1,$A$17*Data!$C21/1000,$A$17*Data!$D21/1000),"")</f>
      </c>
      <c r="K20" s="72">
        <f>IF($E20=5,IF($A$11=1,$A$17*Data!$C21/1000,$A$17*Data!$D21/1000),"")</f>
      </c>
      <c r="L20" s="72">
        <f>IF($E20=6,IF($A$11=1,$A$17*Data!$C21/1000,$A$17*Data!$D21/1000),"")</f>
      </c>
      <c r="M20" s="73">
        <f t="shared" si="1"/>
      </c>
      <c r="N20" s="73">
        <f>IF(SUM(G20:L20)=0,"",IF((F20-D20)&lt;Data!B21,"X",""))</f>
      </c>
      <c r="O20" s="74">
        <f>IF(D20="","",IF($A$11=1,$A$17*Data!$C21,$A$17*Data!$D21))</f>
      </c>
      <c r="T20"/>
    </row>
    <row r="21" spans="1:20" ht="13.5" customHeight="1">
      <c r="A21" s="81"/>
      <c r="B21" s="82"/>
      <c r="C21" s="63" t="s">
        <v>41</v>
      </c>
      <c r="D21" s="45"/>
      <c r="E21" s="69">
        <f>IF(D21&gt;1,Data!B22-(B$1-D21),"")</f>
      </c>
      <c r="F21" s="70">
        <f t="shared" si="0"/>
      </c>
      <c r="G21" s="71">
        <f>IF($E21="","",IF($E21&lt;=1,IF($A$11=1,$A$17*Data!$C22/1000,$A$17*Data!$D22/1000),""))</f>
      </c>
      <c r="H21" s="72">
        <f>IF($E21=2,IF($A$11=1,$A$17*Data!$C22/1000,$A$17*Data!$D22/1000),"")</f>
      </c>
      <c r="I21" s="72">
        <f>IF($E21=3,IF($A$11=1,$A$17*Data!$C22/1000,$A$17*Data!$D22/1000),"")</f>
      </c>
      <c r="J21" s="72">
        <f>IF($E21=4,IF($A$11=1,$A$17*Data!$C22/1000,$A$17*Data!$D22/1000),"")</f>
      </c>
      <c r="K21" s="72">
        <f>IF($E21=5,IF($A$11=1,$A$17*Data!$C22/1000,$A$17*Data!$D22/1000),"")</f>
      </c>
      <c r="L21" s="72">
        <f>IF($E21=6,IF($A$11=1,$A$17*Data!$C22/1000,$A$17*Data!$D22/1000),"")</f>
      </c>
      <c r="M21" s="73">
        <f t="shared" si="1"/>
      </c>
      <c r="N21" s="73">
        <f>IF(SUM(G21:L21)=0,"",IF((F21-D21)&lt;Data!B22,"X",""))</f>
      </c>
      <c r="O21" s="74">
        <f>IF(D21="","",IF($A$11=1,$A$17*Data!$C22,$A$17*Data!$D22))</f>
      </c>
      <c r="T21"/>
    </row>
    <row r="22" spans="1:20" ht="13.5" customHeight="1">
      <c r="A22" s="81"/>
      <c r="B22" s="82"/>
      <c r="C22" s="63" t="s">
        <v>42</v>
      </c>
      <c r="D22" s="45"/>
      <c r="E22" s="69">
        <f>IF(D22&gt;1,Data!B23-(B$1-D22),"")</f>
      </c>
      <c r="F22" s="70">
        <f t="shared" si="0"/>
      </c>
      <c r="G22" s="71">
        <f>IF($E22="","",IF($E22&lt;=1,IF($A$11=1,$A$17*Data!$C23/1000,$A$17*Data!$D23/1000),""))</f>
      </c>
      <c r="H22" s="72">
        <f>IF($E22=2,IF($A$11=1,$A$17*Data!$C23/1000,$A$17*Data!$D23/1000),"")</f>
      </c>
      <c r="I22" s="72">
        <f>IF($E22=3,IF($A$11=1,$A$17*Data!$C23/1000,$A$17*Data!$D23/1000),"")</f>
      </c>
      <c r="J22" s="72">
        <f>IF($E22=4,IF($A$11=1,$A$17*Data!$C23/1000,$A$17*Data!$D23/1000),"")</f>
      </c>
      <c r="K22" s="72">
        <f>IF($E22=5,IF($A$11=1,$A$17*Data!$C23/1000,$A$17*Data!$D23/1000),"")</f>
      </c>
      <c r="L22" s="72">
        <f>IF($E22=6,IF($A$11=1,$A$17*Data!$C23/1000,$A$17*Data!$D23/1000),"")</f>
      </c>
      <c r="M22" s="73">
        <f t="shared" si="1"/>
      </c>
      <c r="N22" s="73">
        <f>IF(SUM(G22:L22)=0,"",IF((F22-D22)&lt;Data!B23,"X",""))</f>
      </c>
      <c r="O22" s="74">
        <f>IF(D22="","",IF($A$11=1,$A$17*Data!$C23,$A$17*Data!$D23))</f>
      </c>
      <c r="T22"/>
    </row>
    <row r="23" spans="1:20" ht="13.5" customHeight="1">
      <c r="A23" s="81"/>
      <c r="B23" s="82"/>
      <c r="C23" s="63" t="s">
        <v>43</v>
      </c>
      <c r="D23" s="45"/>
      <c r="E23" s="69">
        <f>IF(D23&gt;1,Data!B24-(B$1-D23),"")</f>
      </c>
      <c r="F23" s="70">
        <f t="shared" si="0"/>
      </c>
      <c r="G23" s="71">
        <f>IF($E23="","",IF($E23&lt;=1,IF($A$11=1,$A$17*Data!$C24/1000,$A$17*Data!$D24/1000),""))</f>
      </c>
      <c r="H23" s="72">
        <f>IF($E23=2,IF($A$11=1,$A$17*Data!$C24/1000,$A$17*Data!$D24/1000),"")</f>
      </c>
      <c r="I23" s="72">
        <f>IF($E23=3,IF($A$11=1,$A$17*Data!$C24/1000,$A$17*Data!$D24/1000),"")</f>
      </c>
      <c r="J23" s="72">
        <f>IF($E23=4,IF($A$11=1,$A$17*Data!$C24/1000,$A$17*Data!$D24/1000),"")</f>
      </c>
      <c r="K23" s="72">
        <f>IF($E23=5,IF($A$11=1,$A$17*Data!$C24/1000,$A$17*Data!$D24/1000),"")</f>
      </c>
      <c r="L23" s="72">
        <f>IF($E23=6,IF($A$11=1,$A$17*Data!$C24/1000,$A$17*Data!$D24/1000),"")</f>
      </c>
      <c r="M23" s="73">
        <f t="shared" si="1"/>
      </c>
      <c r="N23" s="73">
        <f>IF(SUM(G23:L23)=0,"",IF((F23-D23)&lt;Data!B24,"X",""))</f>
      </c>
      <c r="O23" s="74">
        <f>IF(D23="","",IF($A$11=1,$A$17*Data!$C24,$A$17*Data!$D24))</f>
      </c>
      <c r="T23"/>
    </row>
    <row r="24" spans="1:20" ht="13.5" customHeight="1">
      <c r="A24" s="81"/>
      <c r="B24" s="82"/>
      <c r="C24" s="64" t="s">
        <v>44</v>
      </c>
      <c r="D24" s="45"/>
      <c r="E24" s="69">
        <f>IF(D24&gt;1,Data!B25-(B$1-D24),"")</f>
      </c>
      <c r="F24" s="70">
        <f t="shared" si="0"/>
      </c>
      <c r="G24" s="71">
        <f>IF($E24="","",IF($E24&lt;=1,IF($A$11=1,$A$17*Data!$C25/1000,$A$17*Data!$D25/1000),""))</f>
      </c>
      <c r="H24" s="72">
        <f>IF($E24=2,IF($A$11=1,$A$17*Data!$C25/1000,$A$17*Data!$D25/1000),"")</f>
      </c>
      <c r="I24" s="72">
        <f>IF($E24=3,IF($A$11=1,$A$17*Data!$C25/1000,$A$17*Data!$D25/1000),"")</f>
      </c>
      <c r="J24" s="72">
        <f>IF($E24=4,IF($A$11=1,$A$17*Data!$C25/1000,$A$17*Data!$D25/1000),"")</f>
      </c>
      <c r="K24" s="72">
        <f>IF($E24=5,IF($A$11=1,$A$17*Data!$C25/1000,$A$17*Data!$D25/1000),"")</f>
      </c>
      <c r="L24" s="72">
        <f>IF($E24=6,IF($A$11=1,$A$17*Data!$C25/1000,$A$17*Data!$D25/1000),"")</f>
      </c>
      <c r="M24" s="73">
        <f t="shared" si="1"/>
      </c>
      <c r="N24" s="73">
        <f>IF(SUM(G24:L24)=0,"",IF((F24-D24)&lt;Data!B25,"X",""))</f>
      </c>
      <c r="O24" s="74">
        <f>IF(D24="","",IF($A$11=1,$A$17*Data!$C25,$A$17*Data!$D25))</f>
      </c>
      <c r="T24"/>
    </row>
    <row r="25" spans="1:20" ht="13.5" customHeight="1">
      <c r="A25" s="81"/>
      <c r="B25" s="82"/>
      <c r="C25" s="63" t="s">
        <v>45</v>
      </c>
      <c r="D25" s="45"/>
      <c r="E25" s="69">
        <f>IF(D25&gt;1,Data!B26-(B$1-D25),"")</f>
      </c>
      <c r="F25" s="70">
        <f t="shared" si="0"/>
      </c>
      <c r="G25" s="71">
        <f>IF($E25="","",IF($E25&lt;=1,IF($A$11=1,$A$17*Data!$C26/1000,$A$17*Data!$D26/1000),""))</f>
      </c>
      <c r="H25" s="72">
        <f>IF($E25=2,IF($A$11=1,$A$17*Data!$C26/1000,$A$17*Data!$D26/1000),"")</f>
      </c>
      <c r="I25" s="72">
        <f>IF($E25=3,IF($A$11=1,$A$17*Data!$C26/1000,$A$17*Data!$D26/1000),"")</f>
      </c>
      <c r="J25" s="72">
        <f>IF($E25=4,IF($A$11=1,$A$17*Data!$C26/1000,$A$17*Data!$D26/1000),"")</f>
      </c>
      <c r="K25" s="72">
        <f>IF($E25=5,IF($A$11=1,$A$17*Data!$C26/1000,$A$17*Data!$D26/1000),"")</f>
      </c>
      <c r="L25" s="72">
        <f>IF($E25=6,IF($A$11=1,$A$17*Data!$C26/1000,$A$17*Data!$D26/1000),"")</f>
      </c>
      <c r="M25" s="73">
        <f t="shared" si="1"/>
      </c>
      <c r="N25" s="73">
        <f>IF(SUM(G25:L25)=0,"",IF((F25-D25)&lt;Data!B26,"X",""))</f>
      </c>
      <c r="O25" s="74">
        <f>IF(D25="","",IF($A$11=1,$A$17*Data!$C26,$A$17*Data!$D26))</f>
      </c>
      <c r="T25"/>
    </row>
    <row r="26" spans="1:20" ht="13.5" customHeight="1">
      <c r="A26" s="81"/>
      <c r="B26" s="82"/>
      <c r="C26" s="63" t="s">
        <v>46</v>
      </c>
      <c r="D26" s="45"/>
      <c r="E26" s="69">
        <f>IF(D26&gt;1,Data!B27-(B$1-D26),"")</f>
      </c>
      <c r="F26" s="70">
        <f t="shared" si="0"/>
      </c>
      <c r="G26" s="71">
        <f>IF($E26="","",IF($E26&lt;=1,IF($A$11=1,$A$17*Data!$C27/1000,$A$17*Data!$D27/1000),""))</f>
      </c>
      <c r="H26" s="72">
        <f>IF($E26=2,IF($A$11=1,$A$17*Data!$C27/1000,$A$17*Data!$D27/1000),"")</f>
      </c>
      <c r="I26" s="72">
        <f>IF($E26=3,IF($A$11=1,$A$17*Data!$C27/1000,$A$17*Data!$D27/1000),"")</f>
      </c>
      <c r="J26" s="72">
        <f>IF($E26=4,IF($A$11=1,$A$17*Data!$C27/1000,$A$17*Data!$D27/1000),"")</f>
      </c>
      <c r="K26" s="72">
        <f>IF($E26=5,IF($A$11=1,$A$17*Data!$C27/1000,$A$17*Data!$D27/1000),"")</f>
      </c>
      <c r="L26" s="72">
        <f>IF($E26=6,IF($A$11=1,$A$17*Data!$C27/1000,$A$17*Data!$D27/1000),"")</f>
      </c>
      <c r="M26" s="73">
        <f t="shared" si="1"/>
      </c>
      <c r="N26" s="73">
        <f>IF(SUM(G26:L26)=0,"",IF((F26-D26)&lt;Data!B27,"X",""))</f>
      </c>
      <c r="O26" s="74">
        <f>IF(D26="","",IF($A$11=1,$A$17*Data!$C27,$A$17*Data!$D27))</f>
      </c>
      <c r="T26"/>
    </row>
    <row r="27" spans="1:20" ht="13.5" customHeight="1">
      <c r="A27" s="83"/>
      <c r="B27" s="84"/>
      <c r="C27" s="63" t="s">
        <v>47</v>
      </c>
      <c r="D27" s="45"/>
      <c r="E27" s="69">
        <f>IF(D27&gt;1,Data!B28-(B$1-D27),"")</f>
      </c>
      <c r="F27" s="70">
        <f t="shared" si="0"/>
      </c>
      <c r="G27" s="71">
        <f>IF($E27="","",IF($E27&lt;=1,IF($A$11=1,$A$17*Data!$C28/1000,$A$17*Data!$D28/1000),""))</f>
      </c>
      <c r="H27" s="72">
        <f>IF($E27=2,IF($A$11=1,$A$17*Data!$C28/1000,$A$17*Data!$D28/1000),"")</f>
      </c>
      <c r="I27" s="72">
        <f>IF($E27=3,IF($A$11=1,$A$17*Data!$C28/1000,$A$17*Data!$D28/1000),"")</f>
      </c>
      <c r="J27" s="72">
        <f>IF($E27=4,IF($A$11=1,$A$17*Data!$C28/1000,$A$17*Data!$D28/1000),"")</f>
      </c>
      <c r="K27" s="72">
        <f>IF($E27=5,IF($A$11=1,$A$17*Data!$C28/1000,$A$17*Data!$D28/1000),"")</f>
      </c>
      <c r="L27" s="72">
        <f>IF($E27=6,IF($A$11=1,$A$17*Data!$C28/1000,$A$17*Data!$D28/1000),"")</f>
      </c>
      <c r="M27" s="73">
        <f t="shared" si="1"/>
      </c>
      <c r="N27" s="73">
        <f>IF(SUM(G27:L27)=0,"",IF((F27-D27)&lt;Data!B28,"X",""))</f>
      </c>
      <c r="O27" s="74">
        <f>IF(D27="","",IF($A$11=1,$A$17*Data!$C28,$A$17*Data!$D28))</f>
      </c>
      <c r="T27"/>
    </row>
    <row r="28" spans="1:20" ht="13.5" customHeight="1" thickBot="1">
      <c r="A28" s="107" t="s">
        <v>56</v>
      </c>
      <c r="B28" s="108"/>
      <c r="C28" s="65" t="s">
        <v>48</v>
      </c>
      <c r="D28" s="56"/>
      <c r="E28" s="57"/>
      <c r="F28" s="58"/>
      <c r="G28" s="59"/>
      <c r="H28" s="60"/>
      <c r="I28" s="60"/>
      <c r="J28" s="60"/>
      <c r="K28" s="60"/>
      <c r="L28" s="60"/>
      <c r="M28" s="61"/>
      <c r="N28" s="61"/>
      <c r="O28" s="68"/>
      <c r="T28"/>
    </row>
    <row r="29" spans="1:20" ht="13.5" customHeight="1" thickBot="1">
      <c r="A29" s="77" t="str">
        <f>IF(A17=0," ",G29*1000/A17)</f>
        <v> </v>
      </c>
      <c r="B29" s="78"/>
      <c r="C29" s="13" t="s">
        <v>49</v>
      </c>
      <c r="D29" s="14"/>
      <c r="E29" s="15"/>
      <c r="F29" s="16"/>
      <c r="G29" s="75">
        <f aca="true" t="shared" si="2" ref="G29:L29">SUM(G5:G28)</f>
        <v>0</v>
      </c>
      <c r="H29" s="75">
        <f t="shared" si="2"/>
        <v>0</v>
      </c>
      <c r="I29" s="75">
        <f t="shared" si="2"/>
        <v>0</v>
      </c>
      <c r="J29" s="75">
        <f t="shared" si="2"/>
        <v>0</v>
      </c>
      <c r="K29" s="75">
        <f t="shared" si="2"/>
        <v>0</v>
      </c>
      <c r="L29" s="75">
        <f t="shared" si="2"/>
        <v>0</v>
      </c>
      <c r="M29" s="95">
        <f>SUM(G29:L29)*1000</f>
        <v>0</v>
      </c>
      <c r="N29" s="96"/>
      <c r="O29" s="76" t="s">
        <v>50</v>
      </c>
      <c r="T29"/>
    </row>
    <row r="30" ht="13.5" thickTop="1">
      <c r="C30" s="33"/>
    </row>
    <row r="31" ht="12.75">
      <c r="C31" s="18"/>
    </row>
    <row r="32" ht="12.75">
      <c r="B32" t="s">
        <v>65</v>
      </c>
    </row>
    <row r="33" ht="12.75">
      <c r="B33" t="s">
        <v>66</v>
      </c>
    </row>
    <row r="34" ht="12.75">
      <c r="B34" t="s">
        <v>68</v>
      </c>
    </row>
    <row r="35" ht="12.75">
      <c r="B35" t="s">
        <v>67</v>
      </c>
    </row>
  </sheetData>
  <sheetProtection/>
  <mergeCells count="21">
    <mergeCell ref="N1:N2"/>
    <mergeCell ref="A2:B2"/>
    <mergeCell ref="A3:B3"/>
    <mergeCell ref="A16:B16"/>
    <mergeCell ref="A17:B18"/>
    <mergeCell ref="A19:B19"/>
    <mergeCell ref="A28:B28"/>
    <mergeCell ref="A11:B12"/>
    <mergeCell ref="A6:B6"/>
    <mergeCell ref="A7:B7"/>
    <mergeCell ref="A8:B9"/>
    <mergeCell ref="A29:B29"/>
    <mergeCell ref="A20:B27"/>
    <mergeCell ref="A14:B15"/>
    <mergeCell ref="A13:B13"/>
    <mergeCell ref="O1:O2"/>
    <mergeCell ref="F1:L1"/>
    <mergeCell ref="C1:E1"/>
    <mergeCell ref="M1:M2"/>
    <mergeCell ref="M29:N29"/>
    <mergeCell ref="A10:B10"/>
  </mergeCells>
  <printOptions verticalCentered="1"/>
  <pageMargins left="0.38" right="0.39" top="1" bottom="1" header="0.5" footer="0.5"/>
  <pageSetup horizontalDpi="600" verticalDpi="600" orientation="landscape" r:id="rId1"/>
  <headerFooter differentOddEven="1" alignWithMargins="0">
    <oddHeader>&amp;CRenewal and Replacement Schedule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3" max="4" width="10.7109375" style="0" customWidth="1"/>
    <col min="6" max="9" width="0" style="0" hidden="1" customWidth="1"/>
    <col min="10" max="10" width="9.28125" style="0" hidden="1" customWidth="1"/>
  </cols>
  <sheetData>
    <row r="1" spans="1:4" ht="13.5" thickTop="1">
      <c r="A1" s="19"/>
      <c r="B1" s="20" t="s">
        <v>6</v>
      </c>
      <c r="C1" s="21"/>
      <c r="D1" s="22"/>
    </row>
    <row r="2" spans="1:9" ht="12.75" customHeight="1">
      <c r="A2" s="23"/>
      <c r="B2" s="120" t="s">
        <v>51</v>
      </c>
      <c r="C2" s="120" t="s">
        <v>52</v>
      </c>
      <c r="D2" s="119" t="s">
        <v>53</v>
      </c>
      <c r="F2" t="s">
        <v>59</v>
      </c>
      <c r="I2" t="s">
        <v>61</v>
      </c>
    </row>
    <row r="3" spans="1:10" ht="12.75">
      <c r="A3" s="23"/>
      <c r="B3" s="121"/>
      <c r="C3" s="121"/>
      <c r="D3" s="119"/>
      <c r="F3" t="s">
        <v>60</v>
      </c>
      <c r="G3" t="s">
        <v>58</v>
      </c>
      <c r="I3" t="s">
        <v>60</v>
      </c>
      <c r="J3" t="s">
        <v>58</v>
      </c>
    </row>
    <row r="4" spans="1:4" ht="12.75">
      <c r="A4" s="12" t="s">
        <v>17</v>
      </c>
      <c r="B4" s="24">
        <v>25</v>
      </c>
      <c r="C4" s="24" t="s">
        <v>54</v>
      </c>
      <c r="D4" s="25" t="s">
        <v>54</v>
      </c>
    </row>
    <row r="5" spans="1:4" ht="12.75">
      <c r="A5" s="12" t="s">
        <v>19</v>
      </c>
      <c r="B5" s="24">
        <v>40</v>
      </c>
      <c r="C5" s="24" t="s">
        <v>54</v>
      </c>
      <c r="D5" s="25" t="s">
        <v>54</v>
      </c>
    </row>
    <row r="6" spans="1:10" ht="12.75">
      <c r="A6" s="12" t="s">
        <v>21</v>
      </c>
      <c r="B6" s="24">
        <v>50</v>
      </c>
      <c r="C6" s="47">
        <f>(F6+G6)/2</f>
        <v>0.10250000000000001</v>
      </c>
      <c r="D6" s="48">
        <f aca="true" t="shared" si="0" ref="D6:D27">(I6+J6)/2</f>
        <v>0.0578</v>
      </c>
      <c r="F6" s="47">
        <v>0.112</v>
      </c>
      <c r="G6" s="47">
        <v>0.093</v>
      </c>
      <c r="H6" s="26"/>
      <c r="I6" s="51">
        <v>0.075</v>
      </c>
      <c r="J6" s="53">
        <v>0.0406</v>
      </c>
    </row>
    <row r="7" spans="1:10" ht="12.75">
      <c r="A7" s="12" t="s">
        <v>22</v>
      </c>
      <c r="B7" s="24">
        <v>50</v>
      </c>
      <c r="C7" s="47">
        <f aca="true" t="shared" si="1" ref="C7:C17">(F7+G7)/2</f>
        <v>0.1363</v>
      </c>
      <c r="D7" s="48">
        <f t="shared" si="0"/>
        <v>0.16570000000000001</v>
      </c>
      <c r="F7" s="47">
        <v>0.09</v>
      </c>
      <c r="G7" s="47">
        <v>0.1826</v>
      </c>
      <c r="H7" s="26"/>
      <c r="I7" s="51">
        <v>0.153</v>
      </c>
      <c r="J7" s="53">
        <v>0.1784</v>
      </c>
    </row>
    <row r="8" spans="1:10" ht="12.75">
      <c r="A8" s="12" t="s">
        <v>24</v>
      </c>
      <c r="B8" s="24">
        <v>25</v>
      </c>
      <c r="C8" s="47">
        <f t="shared" si="1"/>
        <v>0.09094999999999999</v>
      </c>
      <c r="D8" s="48">
        <f t="shared" si="0"/>
        <v>0.0749</v>
      </c>
      <c r="F8" s="47">
        <v>0.053</v>
      </c>
      <c r="G8" s="47">
        <v>0.1289</v>
      </c>
      <c r="H8" s="26"/>
      <c r="I8" s="51">
        <v>0.06</v>
      </c>
      <c r="J8" s="53">
        <v>0.0898</v>
      </c>
    </row>
    <row r="9" spans="1:10" ht="12.75">
      <c r="A9" s="12" t="s">
        <v>25</v>
      </c>
      <c r="B9" s="24">
        <v>30</v>
      </c>
      <c r="C9" s="47">
        <f t="shared" si="1"/>
        <v>0.02405</v>
      </c>
      <c r="D9" s="48">
        <f t="shared" si="0"/>
        <v>0.025881078967943706</v>
      </c>
      <c r="F9" s="47">
        <v>0.037</v>
      </c>
      <c r="G9" s="47">
        <v>0.0111</v>
      </c>
      <c r="H9" s="26"/>
      <c r="I9" s="51">
        <f>2.53/63.95</f>
        <v>0.03956215793588741</v>
      </c>
      <c r="J9" s="53">
        <v>0.0122</v>
      </c>
    </row>
    <row r="10" spans="1:10" ht="12.75">
      <c r="A10" s="12" t="s">
        <v>26</v>
      </c>
      <c r="B10" s="24">
        <v>20</v>
      </c>
      <c r="C10" s="47">
        <f t="shared" si="1"/>
        <v>0.004796922080025919</v>
      </c>
      <c r="D10" s="48">
        <f t="shared" si="0"/>
        <v>0.004411024237685692</v>
      </c>
      <c r="F10" s="47">
        <f>0.37/61.73</f>
        <v>0.005993844160051839</v>
      </c>
      <c r="G10" s="47">
        <v>0.0036</v>
      </c>
      <c r="H10" s="26"/>
      <c r="I10" s="51">
        <f>0.27/63.95</f>
        <v>0.004222048475371384</v>
      </c>
      <c r="J10" s="53">
        <v>0.0046</v>
      </c>
    </row>
    <row r="11" spans="1:10" ht="12.75">
      <c r="A11" s="12" t="s">
        <v>28</v>
      </c>
      <c r="B11" s="24">
        <v>20</v>
      </c>
      <c r="C11" s="47">
        <f t="shared" si="1"/>
        <v>0.0464</v>
      </c>
      <c r="D11" s="48">
        <f t="shared" si="0"/>
        <v>0.0509</v>
      </c>
      <c r="F11" s="47">
        <v>0.054</v>
      </c>
      <c r="G11" s="47">
        <v>0.0388</v>
      </c>
      <c r="H11" s="26"/>
      <c r="I11" s="51">
        <v>0.035</v>
      </c>
      <c r="J11" s="53">
        <v>0.0668</v>
      </c>
    </row>
    <row r="12" spans="1:10" ht="12.75">
      <c r="A12" s="12" t="s">
        <v>29</v>
      </c>
      <c r="B12" s="24">
        <v>50</v>
      </c>
      <c r="C12" s="47">
        <f t="shared" si="1"/>
        <v>0.05265</v>
      </c>
      <c r="D12" s="48">
        <f t="shared" si="0"/>
        <v>0.0528</v>
      </c>
      <c r="F12" s="47">
        <v>0.048</v>
      </c>
      <c r="G12" s="47">
        <v>0.0573</v>
      </c>
      <c r="H12" s="26"/>
      <c r="I12" s="51">
        <v>0.045</v>
      </c>
      <c r="J12" s="53">
        <v>0.0606</v>
      </c>
    </row>
    <row r="13" spans="1:10" ht="12.75">
      <c r="A13" s="12" t="s">
        <v>30</v>
      </c>
      <c r="B13" s="24">
        <v>30</v>
      </c>
      <c r="C13" s="47">
        <f t="shared" si="1"/>
        <v>0.01631783573627086</v>
      </c>
      <c r="D13" s="48">
        <f t="shared" si="0"/>
        <v>0.01724851446442533</v>
      </c>
      <c r="F13" s="47">
        <f>0.78/61.73</f>
        <v>0.012635671472541715</v>
      </c>
      <c r="G13" s="47">
        <v>0.02</v>
      </c>
      <c r="H13" s="26"/>
      <c r="I13" s="51">
        <f>0.78/63.95</f>
        <v>0.012197028928850665</v>
      </c>
      <c r="J13" s="53">
        <v>0.0223</v>
      </c>
    </row>
    <row r="14" spans="1:12" ht="12.75">
      <c r="A14" s="12" t="s">
        <v>32</v>
      </c>
      <c r="B14" s="24">
        <v>15</v>
      </c>
      <c r="C14" s="47">
        <f t="shared" si="1"/>
        <v>0.0545</v>
      </c>
      <c r="D14" s="48">
        <f t="shared" si="0"/>
        <v>0.05612564503518373</v>
      </c>
      <c r="F14" s="47">
        <v>0.074</v>
      </c>
      <c r="G14" s="47">
        <v>0.035</v>
      </c>
      <c r="H14" s="26"/>
      <c r="I14" s="51">
        <f>4.71/63.95</f>
        <v>0.07365129007036747</v>
      </c>
      <c r="J14" s="53">
        <v>0.0386</v>
      </c>
      <c r="L14" s="46"/>
    </row>
    <row r="15" spans="1:10" ht="12.75">
      <c r="A15" s="12" t="s">
        <v>33</v>
      </c>
      <c r="B15" s="24">
        <v>25</v>
      </c>
      <c r="C15" s="47">
        <f t="shared" si="1"/>
        <v>0.020737688320103677</v>
      </c>
      <c r="D15" s="48">
        <f t="shared" si="0"/>
        <v>0.021699999999999997</v>
      </c>
      <c r="F15" s="47">
        <f>1.48/61.73</f>
        <v>0.023975376640207356</v>
      </c>
      <c r="G15" s="47">
        <v>0.0175</v>
      </c>
      <c r="H15" s="26"/>
      <c r="I15" s="51">
        <v>0.022</v>
      </c>
      <c r="J15" s="53">
        <v>0.0214</v>
      </c>
    </row>
    <row r="16" spans="1:10" ht="12.75">
      <c r="A16" s="12" t="s">
        <v>34</v>
      </c>
      <c r="B16" s="24">
        <v>25</v>
      </c>
      <c r="C16" s="47">
        <f t="shared" si="1"/>
        <v>0.03483132188563098</v>
      </c>
      <c r="D16" s="48">
        <f t="shared" si="0"/>
        <v>0.03225</v>
      </c>
      <c r="F16" s="47">
        <f>3.22/61.73</f>
        <v>0.05216264377126195</v>
      </c>
      <c r="G16" s="47">
        <v>0.0175</v>
      </c>
      <c r="H16" s="26"/>
      <c r="I16" s="51">
        <v>0.052</v>
      </c>
      <c r="J16" s="53">
        <v>0.0125</v>
      </c>
    </row>
    <row r="17" spans="1:10" ht="12.75">
      <c r="A17" s="12" t="s">
        <v>35</v>
      </c>
      <c r="B17" s="24">
        <v>40</v>
      </c>
      <c r="C17" s="47">
        <f t="shared" si="1"/>
        <v>0.026630892596792483</v>
      </c>
      <c r="D17" s="48">
        <f t="shared" si="0"/>
        <v>0.029443862392494136</v>
      </c>
      <c r="F17" s="47">
        <f>0.51/61.73</f>
        <v>0.008261785193584968</v>
      </c>
      <c r="G17" s="47">
        <v>0.045</v>
      </c>
      <c r="H17" s="26"/>
      <c r="I17" s="51">
        <f>(0.53)/63.95</f>
        <v>0.008287724784988272</v>
      </c>
      <c r="J17" s="53">
        <v>0.0506</v>
      </c>
    </row>
    <row r="18" spans="1:10" ht="12.75">
      <c r="A18" s="12" t="s">
        <v>36</v>
      </c>
      <c r="B18" s="24">
        <v>40</v>
      </c>
      <c r="C18" s="47"/>
      <c r="D18" s="48">
        <f t="shared" si="0"/>
        <v>0.0038</v>
      </c>
      <c r="F18" s="47"/>
      <c r="G18" s="47"/>
      <c r="H18" s="26"/>
      <c r="I18" s="51">
        <v>0.005</v>
      </c>
      <c r="J18" s="53">
        <v>0.0026</v>
      </c>
    </row>
    <row r="19" spans="1:12" ht="12.75">
      <c r="A19" s="12" t="s">
        <v>37</v>
      </c>
      <c r="B19" s="24">
        <v>30</v>
      </c>
      <c r="C19" s="47">
        <f aca="true" t="shared" si="2" ref="C19:C28">(F19+G19)/2</f>
        <v>0.035</v>
      </c>
      <c r="D19" s="48">
        <f t="shared" si="0"/>
        <v>0.036449999999999996</v>
      </c>
      <c r="E19" s="28"/>
      <c r="F19" s="47">
        <v>0.04</v>
      </c>
      <c r="G19" s="47">
        <v>0.03</v>
      </c>
      <c r="H19" s="26"/>
      <c r="I19" s="51">
        <v>0.039</v>
      </c>
      <c r="J19" s="53">
        <v>0.0339</v>
      </c>
      <c r="L19" s="46"/>
    </row>
    <row r="20" spans="1:10" ht="12.75">
      <c r="A20" s="12" t="s">
        <v>39</v>
      </c>
      <c r="B20" s="24">
        <v>30</v>
      </c>
      <c r="C20" s="47">
        <f t="shared" si="2"/>
        <v>0.01715</v>
      </c>
      <c r="D20" s="48">
        <f t="shared" si="0"/>
        <v>0.0154</v>
      </c>
      <c r="E20" s="28"/>
      <c r="F20" s="47">
        <v>0.018</v>
      </c>
      <c r="G20" s="47">
        <v>0.0163</v>
      </c>
      <c r="H20" s="29"/>
      <c r="I20" s="52">
        <v>0.018</v>
      </c>
      <c r="J20" s="53">
        <v>0.0128</v>
      </c>
    </row>
    <row r="21" spans="1:10" ht="12.75">
      <c r="A21" s="12" t="s">
        <v>40</v>
      </c>
      <c r="B21" s="24">
        <v>30</v>
      </c>
      <c r="C21" s="47">
        <f t="shared" si="2"/>
        <v>0.02565</v>
      </c>
      <c r="D21" s="48">
        <f t="shared" si="0"/>
        <v>0.02735</v>
      </c>
      <c r="E21" s="28"/>
      <c r="F21" s="47">
        <v>0.022</v>
      </c>
      <c r="G21" s="47">
        <v>0.0293</v>
      </c>
      <c r="H21" s="26"/>
      <c r="I21" s="51">
        <v>0.019</v>
      </c>
      <c r="J21" s="53">
        <v>0.0357</v>
      </c>
    </row>
    <row r="22" spans="1:10" ht="12.75">
      <c r="A22" s="12" t="s">
        <v>41</v>
      </c>
      <c r="B22" s="24">
        <v>40</v>
      </c>
      <c r="C22" s="47">
        <f t="shared" si="2"/>
        <v>0.0505</v>
      </c>
      <c r="D22" s="48">
        <f t="shared" si="0"/>
        <v>0.0525</v>
      </c>
      <c r="E22" s="28"/>
      <c r="F22" s="47">
        <v>0.031</v>
      </c>
      <c r="G22" s="47">
        <v>0.07</v>
      </c>
      <c r="H22" s="26"/>
      <c r="I22" s="51">
        <v>0.03</v>
      </c>
      <c r="J22" s="53">
        <v>0.075</v>
      </c>
    </row>
    <row r="23" spans="1:10" ht="12.75">
      <c r="A23" s="12" t="s">
        <v>42</v>
      </c>
      <c r="B23" s="24">
        <v>30</v>
      </c>
      <c r="C23" s="47">
        <f t="shared" si="2"/>
        <v>0.1143</v>
      </c>
      <c r="D23" s="48">
        <f t="shared" si="0"/>
        <v>0.10750000000000001</v>
      </c>
      <c r="E23" s="28"/>
      <c r="F23" s="47">
        <v>0.18</v>
      </c>
      <c r="G23" s="47">
        <v>0.0486</v>
      </c>
      <c r="H23" s="26"/>
      <c r="I23" s="51">
        <v>0.171</v>
      </c>
      <c r="J23" s="53">
        <v>0.044</v>
      </c>
    </row>
    <row r="24" spans="1:10" ht="12.75">
      <c r="A24" s="12" t="s">
        <v>43</v>
      </c>
      <c r="B24" s="24">
        <v>20</v>
      </c>
      <c r="C24" s="47">
        <f t="shared" si="2"/>
        <v>0.0215</v>
      </c>
      <c r="D24" s="48">
        <f t="shared" si="0"/>
        <v>0.02495</v>
      </c>
      <c r="E24" s="28"/>
      <c r="F24" s="47">
        <v>0.013</v>
      </c>
      <c r="G24" s="47">
        <v>0.03</v>
      </c>
      <c r="H24" s="26"/>
      <c r="I24" s="51">
        <v>0.012</v>
      </c>
      <c r="J24" s="53">
        <v>0.0379</v>
      </c>
    </row>
    <row r="25" spans="1:12" ht="12.75">
      <c r="A25" s="12" t="s">
        <v>44</v>
      </c>
      <c r="B25" s="24">
        <v>40</v>
      </c>
      <c r="C25" s="47">
        <f t="shared" si="2"/>
        <v>0.02035</v>
      </c>
      <c r="D25" s="48">
        <f t="shared" si="0"/>
        <v>0.02676837372947615</v>
      </c>
      <c r="E25" s="28"/>
      <c r="F25" s="47">
        <v>0.005</v>
      </c>
      <c r="G25" s="47">
        <v>0.0357</v>
      </c>
      <c r="H25" s="26"/>
      <c r="I25" s="51">
        <f>0.45/63.95</f>
        <v>0.007036747458952306</v>
      </c>
      <c r="J25" s="53">
        <v>0.0465</v>
      </c>
      <c r="L25" s="46"/>
    </row>
    <row r="26" spans="1:10" ht="12.75">
      <c r="A26" s="12" t="s">
        <v>45</v>
      </c>
      <c r="B26" s="24">
        <v>50</v>
      </c>
      <c r="C26" s="47">
        <f t="shared" si="2"/>
        <v>0.02445</v>
      </c>
      <c r="D26" s="48">
        <f t="shared" si="0"/>
        <v>0.0276</v>
      </c>
      <c r="F26" s="47">
        <v>0.015</v>
      </c>
      <c r="G26" s="47">
        <v>0.0339</v>
      </c>
      <c r="H26" s="26"/>
      <c r="I26" s="51">
        <v>0.015</v>
      </c>
      <c r="J26" s="53">
        <v>0.0402</v>
      </c>
    </row>
    <row r="27" spans="1:10" ht="12.75">
      <c r="A27" s="12" t="s">
        <v>46</v>
      </c>
      <c r="B27" s="24">
        <v>25</v>
      </c>
      <c r="C27" s="47">
        <f t="shared" si="2"/>
        <v>0.055900000000000005</v>
      </c>
      <c r="D27" s="48">
        <f t="shared" si="0"/>
        <v>0.0605</v>
      </c>
      <c r="F27" s="47">
        <v>0.085</v>
      </c>
      <c r="G27" s="47">
        <v>0.0268</v>
      </c>
      <c r="H27" s="26"/>
      <c r="I27" s="51">
        <v>0.085</v>
      </c>
      <c r="J27" s="53">
        <v>0.036</v>
      </c>
    </row>
    <row r="28" spans="1:10" ht="12.75">
      <c r="A28" s="12" t="s">
        <v>47</v>
      </c>
      <c r="B28" s="24">
        <v>15</v>
      </c>
      <c r="C28" s="47">
        <f t="shared" si="2"/>
        <v>0.024550000000000002</v>
      </c>
      <c r="D28" s="48">
        <f>(I28+J28)/2</f>
        <v>0.027999999999999997</v>
      </c>
      <c r="F28" s="47">
        <v>0.02</v>
      </c>
      <c r="G28" s="47">
        <v>0.0291</v>
      </c>
      <c r="H28" s="26"/>
      <c r="I28" s="51">
        <v>0.019</v>
      </c>
      <c r="J28" s="53">
        <v>0.037</v>
      </c>
    </row>
    <row r="29" spans="1:9" ht="12.75">
      <c r="A29" s="12" t="s">
        <v>48</v>
      </c>
      <c r="B29" s="24">
        <v>25</v>
      </c>
      <c r="C29" s="30" t="s">
        <v>54</v>
      </c>
      <c r="D29" s="30" t="s">
        <v>54</v>
      </c>
      <c r="G29" s="50"/>
      <c r="H29" s="29"/>
      <c r="I29" s="29"/>
    </row>
    <row r="30" spans="1:10" ht="13.5" thickBot="1">
      <c r="A30" s="31"/>
      <c r="B30" s="32"/>
      <c r="C30" s="49">
        <f>SUM(C6:C29)</f>
        <v>1.0000146606188238</v>
      </c>
      <c r="D30" s="54">
        <f>SUM(D6:D29)</f>
        <v>0.9999784988272087</v>
      </c>
      <c r="F30" s="46">
        <f>SUM(F6:F28)</f>
        <v>1.0000293212376479</v>
      </c>
      <c r="G30" s="46">
        <f>SUM(G6:G28)</f>
        <v>1</v>
      </c>
      <c r="H30" s="27"/>
      <c r="I30" s="46">
        <f>SUM(I6:I28)</f>
        <v>0.9999569976544177</v>
      </c>
      <c r="J30" s="46">
        <f>SUM(J6:J28)</f>
        <v>1</v>
      </c>
    </row>
    <row r="31" ht="13.5" thickTop="1"/>
  </sheetData>
  <sheetProtection password="CAB3" sheet="1" objects="1" scenarios="1"/>
  <mergeCells count="3">
    <mergeCell ref="D2:D3"/>
    <mergeCell ref="B2:B3"/>
    <mergeCell ref="C2:C3"/>
  </mergeCells>
  <printOptions horizontalCentered="1" verticalCentered="1"/>
  <pageMargins left="0.75" right="0.75" top="1" bottom="1" header="0.5" footer="0.5"/>
  <pageSetup horizontalDpi="600" verticalDpi="600" orientation="landscape" scale="120" r:id="rId1"/>
  <headerFooter alignWithMargins="0">
    <oddHeader>&amp;CSystem Life and Cost Data Sheet</oddHeader>
    <oddFooter>&amp;LAppendix 1&amp;CPM Standards BP&amp;RPage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zoomScale="95" zoomScaleNormal="95" zoomScalePageLayoutView="0" workbookViewId="0" topLeftCell="A1">
      <selection activeCell="A29" sqref="A29:B29"/>
    </sheetView>
  </sheetViews>
  <sheetFormatPr defaultColWidth="9.140625" defaultRowHeight="12.75"/>
  <cols>
    <col min="1" max="1" width="7.140625" style="0" customWidth="1"/>
    <col min="2" max="2" width="15.28125" style="0" customWidth="1"/>
    <col min="3" max="3" width="21.421875" style="0" customWidth="1"/>
    <col min="4" max="4" width="8.00390625" style="0" customWidth="1"/>
    <col min="5" max="5" width="7.421875" style="0" customWidth="1"/>
    <col min="6" max="6" width="5.421875" style="0" customWidth="1"/>
    <col min="7" max="14" width="6.7109375" style="0" customWidth="1"/>
    <col min="15" max="15" width="14.28125" style="0" customWidth="1"/>
    <col min="16" max="16" width="18.140625" style="0" customWidth="1"/>
    <col min="20" max="20" width="9.140625" style="17" customWidth="1"/>
    <col min="25" max="25" width="11.421875" style="0" customWidth="1"/>
    <col min="28" max="28" width="11.421875" style="0" customWidth="1"/>
  </cols>
  <sheetData>
    <row r="1" spans="1:15" s="2" customFormat="1" ht="39.75" customHeight="1" thickBot="1" thickTop="1">
      <c r="A1" s="1" t="s">
        <v>0</v>
      </c>
      <c r="B1" s="55">
        <v>2011</v>
      </c>
      <c r="C1" s="89" t="s">
        <v>1</v>
      </c>
      <c r="D1" s="90"/>
      <c r="E1" s="92"/>
      <c r="F1" s="89" t="s">
        <v>62</v>
      </c>
      <c r="G1" s="90"/>
      <c r="H1" s="90"/>
      <c r="I1" s="90"/>
      <c r="J1" s="90"/>
      <c r="K1" s="90"/>
      <c r="L1" s="91"/>
      <c r="M1" s="93" t="s">
        <v>2</v>
      </c>
      <c r="N1" s="93" t="s">
        <v>3</v>
      </c>
      <c r="O1" s="87" t="s">
        <v>4</v>
      </c>
    </row>
    <row r="2" spans="1:15" s="9" customFormat="1" ht="39" customHeight="1" thickTop="1">
      <c r="A2" s="117" t="s">
        <v>5</v>
      </c>
      <c r="B2" s="118"/>
      <c r="C2" s="3" t="s">
        <v>6</v>
      </c>
      <c r="D2" s="4" t="s">
        <v>7</v>
      </c>
      <c r="E2" s="5" t="s">
        <v>8</v>
      </c>
      <c r="F2" s="6" t="s">
        <v>9</v>
      </c>
      <c r="G2" s="7" t="s">
        <v>10</v>
      </c>
      <c r="H2" s="8" t="s">
        <v>11</v>
      </c>
      <c r="I2" s="8" t="s">
        <v>12</v>
      </c>
      <c r="J2" s="8" t="s">
        <v>13</v>
      </c>
      <c r="K2" s="8" t="s">
        <v>14</v>
      </c>
      <c r="L2" s="8" t="s">
        <v>15</v>
      </c>
      <c r="M2" s="94"/>
      <c r="N2" s="94"/>
      <c r="O2" s="88"/>
    </row>
    <row r="3" spans="1:20" ht="13.5" customHeight="1">
      <c r="A3" s="105" t="s">
        <v>16</v>
      </c>
      <c r="B3" s="106"/>
      <c r="C3" s="62" t="s">
        <v>17</v>
      </c>
      <c r="D3" s="35"/>
      <c r="E3" s="36"/>
      <c r="F3" s="37">
        <f aca="true" t="shared" si="0" ref="F3:F27">IF(E3="","",$B$1+(E3))</f>
      </c>
      <c r="G3" s="35">
        <f>B1</f>
        <v>2011</v>
      </c>
      <c r="H3" s="35">
        <f>G3+1</f>
        <v>2012</v>
      </c>
      <c r="I3" s="35">
        <f>H3+1</f>
        <v>2013</v>
      </c>
      <c r="J3" s="35">
        <f>I3+1</f>
        <v>2014</v>
      </c>
      <c r="K3" s="35">
        <f>J3+1</f>
        <v>2015</v>
      </c>
      <c r="L3" s="35">
        <f>K3+1</f>
        <v>2016</v>
      </c>
      <c r="M3" s="38">
        <f aca="true" t="shared" si="1" ref="M3:M27">IF(E3="","",IF(E3&lt;1,"X",""))</f>
      </c>
      <c r="N3" s="38">
        <f>IF(F3="","",IF((F3-(D3))&lt;Data!B4,"X",""))</f>
      </c>
      <c r="O3" s="66"/>
      <c r="T3"/>
    </row>
    <row r="4" spans="1:20" ht="13.5" customHeight="1">
      <c r="A4" s="10" t="s">
        <v>18</v>
      </c>
      <c r="B4" s="34" t="s">
        <v>63</v>
      </c>
      <c r="C4" s="63" t="s">
        <v>19</v>
      </c>
      <c r="D4" s="39"/>
      <c r="E4" s="40"/>
      <c r="F4" s="41">
        <f t="shared" si="0"/>
      </c>
      <c r="G4" s="42"/>
      <c r="H4" s="43"/>
      <c r="I4" s="43"/>
      <c r="J4" s="43"/>
      <c r="K4" s="43"/>
      <c r="L4" s="43"/>
      <c r="M4" s="44">
        <f t="shared" si="1"/>
      </c>
      <c r="N4" s="44">
        <f>IF(F4="","",IF((F4-(D4))&lt;Data!B5,"X",""))</f>
      </c>
      <c r="O4" s="67"/>
      <c r="T4"/>
    </row>
    <row r="5" spans="1:20" ht="13.5" customHeight="1">
      <c r="A5" s="10" t="s">
        <v>20</v>
      </c>
      <c r="B5" s="34" t="s">
        <v>55</v>
      </c>
      <c r="C5" s="63" t="s">
        <v>21</v>
      </c>
      <c r="D5" s="45">
        <v>1995</v>
      </c>
      <c r="E5" s="69">
        <f>IF(D5&gt;1,Data!B6-(B$1-D5),"")</f>
        <v>34</v>
      </c>
      <c r="F5" s="70">
        <f t="shared" si="0"/>
        <v>2045</v>
      </c>
      <c r="G5" s="71">
        <f>IF($E5="","",IF($E5&lt;=1,IF($A$11=1,$A$17*Data!$C6/1000,$A$17*Data!$D6/1000),""))</f>
      </c>
      <c r="H5" s="72">
        <f>IF($E5=2,IF($A$11=1,$A$17*Data!$C6/1000,$A$17*Data!$D6/1000),"")</f>
      </c>
      <c r="I5" s="72">
        <f>IF($E5=3,IF($A$11=1,$A$17*Data!$C6/1000,$A$17*Data!$D6/1000),"")</f>
      </c>
      <c r="J5" s="72">
        <f>IF($E5=4,IF($A$11=1,$A$17*Data!$C6/1000,$A$17*Data!$D6/1000),"")</f>
      </c>
      <c r="K5" s="72">
        <f>IF($E5=5,IF($A$11=1,$A$17*Data!$C6/1000,$A$17*Data!$D6/1000),"")</f>
      </c>
      <c r="L5" s="72">
        <f>IF($E5=6,IF($A$11=1,$A$17*Data!$C6/1000,$A$17*Data!$D6/1000),"")</f>
      </c>
      <c r="M5" s="73">
        <f t="shared" si="1"/>
      </c>
      <c r="N5" s="73">
        <f>IF(SUM(G5:L5)=0,"",IF((F5-D5)&lt;Data!B6,"X",""))</f>
      </c>
      <c r="O5" s="74">
        <f>IF(D5="","",IF($A$11=1,$A$17*Data!$C6,$A$17*Data!$D6))</f>
        <v>737065.6</v>
      </c>
      <c r="T5"/>
    </row>
    <row r="6" spans="1:20" ht="13.5" customHeight="1">
      <c r="A6" s="105"/>
      <c r="B6" s="106"/>
      <c r="C6" s="63" t="s">
        <v>22</v>
      </c>
      <c r="D6" s="45">
        <v>1995</v>
      </c>
      <c r="E6" s="69">
        <f>IF(D6&gt;1,Data!B7-(B$1-D6),"")</f>
        <v>34</v>
      </c>
      <c r="F6" s="70">
        <f t="shared" si="0"/>
        <v>2045</v>
      </c>
      <c r="G6" s="71">
        <f>IF($E6="","",IF($E6&lt;=1,IF($A$11=1,$A$17*Data!$C7/1000,$A$17*Data!$D7/1000),""))</f>
      </c>
      <c r="H6" s="72">
        <f>IF($E6=2,IF($A$11=1,$A$17*Data!$C7/1000,$A$17*Data!$D7/1000),"")</f>
      </c>
      <c r="I6" s="72">
        <f>IF($E6=3,IF($A$11=1,$A$17*Data!$C7/1000,$A$17*Data!$D7/1000),"")</f>
      </c>
      <c r="J6" s="72">
        <f>IF($E6=4,IF($A$11=1,$A$17*Data!$C7/1000,$A$17*Data!$D7/1000),"")</f>
      </c>
      <c r="K6" s="72">
        <f>IF($E6=5,IF($A$11=1,$A$17*Data!$C7/1000,$A$17*Data!$D7/1000),"")</f>
      </c>
      <c r="L6" s="72">
        <f>IF($E6=6,IF($A$11=1,$A$17*Data!$C7/1000,$A$17*Data!$D7/1000),"")</f>
      </c>
      <c r="M6" s="73">
        <f t="shared" si="1"/>
      </c>
      <c r="N6" s="73">
        <f>IF(SUM(G6:L6)=0,"",IF((F6-D6)&lt;Data!B7,"X",""))</f>
      </c>
      <c r="O6" s="74">
        <f>IF(D6="","",IF($A$11=1,$A$17*Data!$C7,$A$17*Data!$D7))</f>
        <v>2113006.4000000004</v>
      </c>
      <c r="T6"/>
    </row>
    <row r="7" spans="1:20" ht="13.5" customHeight="1">
      <c r="A7" s="85" t="s">
        <v>23</v>
      </c>
      <c r="B7" s="86"/>
      <c r="C7" s="63" t="s">
        <v>24</v>
      </c>
      <c r="D7" s="45">
        <v>1995</v>
      </c>
      <c r="E7" s="69">
        <f>IF(D7&gt;1,Data!B8-(B$1-D7),"")</f>
        <v>9</v>
      </c>
      <c r="F7" s="70">
        <f t="shared" si="0"/>
        <v>2020</v>
      </c>
      <c r="G7" s="71">
        <f>IF($E7="","",IF($E7&lt;=1,IF($A$11=1,$A$17*Data!$C8/1000,$A$17*Data!$D8/1000),""))</f>
      </c>
      <c r="H7" s="72">
        <f>IF($E7=2,IF($A$11=1,$A$17*Data!$C8/1000,$A$17*Data!$D8/1000),"")</f>
      </c>
      <c r="I7" s="72">
        <f>IF($E7=3,IF($A$11=1,$A$17*Data!$C8/1000,$A$17*Data!$D8/1000),"")</f>
      </c>
      <c r="J7" s="72">
        <f>IF($E7=4,IF($A$11=1,$A$17*Data!$C8/1000,$A$17*Data!$D8/1000),"")</f>
      </c>
      <c r="K7" s="72">
        <f>IF($E7=5,IF($A$11=1,$A$17*Data!$C8/1000,$A$17*Data!$D8/1000),"")</f>
      </c>
      <c r="L7" s="72">
        <f>IF($E7=6,IF($A$11=1,$A$17*Data!$C8/1000,$A$17*Data!$D8/1000),"")</f>
      </c>
      <c r="M7" s="73">
        <f t="shared" si="1"/>
      </c>
      <c r="N7" s="73">
        <f>IF(SUM(G7:L7)=0,"",IF((F7-D7)&lt;Data!B8,"X",""))</f>
      </c>
      <c r="O7" s="74">
        <f>IF(D7="","",IF($A$11=1,$A$17*Data!$C8,$A$17*Data!$D8))</f>
        <v>955124.7999999999</v>
      </c>
      <c r="T7"/>
    </row>
    <row r="8" spans="1:20" ht="13.5" customHeight="1">
      <c r="A8" s="122">
        <v>106197</v>
      </c>
      <c r="B8" s="123"/>
      <c r="C8" s="63" t="s">
        <v>25</v>
      </c>
      <c r="D8" s="45">
        <v>1995</v>
      </c>
      <c r="E8" s="69">
        <f>IF(D8&gt;1,Data!B9-(B$1-D8),"")</f>
        <v>14</v>
      </c>
      <c r="F8" s="70">
        <f t="shared" si="0"/>
        <v>2025</v>
      </c>
      <c r="G8" s="71">
        <f>IF($E8="","",IF($E8&lt;=1,IF($A$11=1,$A$17*Data!$C9/1000,$A$17*Data!$D9/1000),""))</f>
      </c>
      <c r="H8" s="72">
        <f>IF($E8=2,IF($A$11=1,$A$17*Data!$C9/1000,$A$17*Data!$D9/1000),"")</f>
      </c>
      <c r="I8" s="72">
        <f>IF($E8=3,IF($A$11=1,$A$17*Data!$C9/1000,$A$17*Data!$D9/1000),"")</f>
      </c>
      <c r="J8" s="72">
        <f>IF($E8=4,IF($A$11=1,$A$17*Data!$C9/1000,$A$17*Data!$D9/1000),"")</f>
      </c>
      <c r="K8" s="72">
        <f>IF($E8=5,IF($A$11=1,$A$17*Data!$C9/1000,$A$17*Data!$D9/1000),"")</f>
      </c>
      <c r="L8" s="72">
        <f>IF($E8=6,IF($A$11=1,$A$17*Data!$C9/1000,$A$17*Data!$D9/1000),"")</f>
      </c>
      <c r="M8" s="73">
        <f t="shared" si="1"/>
      </c>
      <c r="N8" s="73">
        <f>IF(SUM(G8:L8)=0,"",IF((F8-D8)&lt;Data!B9,"X",""))</f>
      </c>
      <c r="O8" s="74">
        <f>IF(D8="","",IF($A$11=1,$A$17*Data!$C9,$A$17*Data!$D9))</f>
        <v>330035.5189992181</v>
      </c>
      <c r="T8"/>
    </row>
    <row r="9" spans="1:20" ht="13.5" customHeight="1">
      <c r="A9" s="124"/>
      <c r="B9" s="125"/>
      <c r="C9" s="63" t="s">
        <v>26</v>
      </c>
      <c r="D9" s="45">
        <v>1995</v>
      </c>
      <c r="E9" s="69">
        <f>IF(D9&gt;1,Data!B10-(B$1-D9),"")</f>
        <v>4</v>
      </c>
      <c r="F9" s="70">
        <f t="shared" si="0"/>
        <v>2015</v>
      </c>
      <c r="G9" s="71">
        <f>IF($E9="","",IF($E9&lt;=1,IF($A$11=1,$A$17*Data!$C10/1000,$A$17*Data!$D10/1000),""))</f>
      </c>
      <c r="H9" s="72">
        <f>IF($E9=2,IF($A$11=1,$A$17*Data!$C10/1000,$A$17*Data!$D10/1000),"")</f>
      </c>
      <c r="I9" s="72">
        <f>IF($E9=3,IF($A$11=1,$A$17*Data!$C10/1000,$A$17*Data!$D10/1000),"")</f>
      </c>
      <c r="J9" s="72">
        <f>IF($E9=4,IF($A$11=1,$A$17*Data!$C10/1000,$A$17*Data!$D10/1000),"")</f>
        <v>56.24938107896794</v>
      </c>
      <c r="K9" s="72">
        <f>IF($E9=5,IF($A$11=1,$A$17*Data!$C10/1000,$A$17*Data!$D10/1000),"")</f>
      </c>
      <c r="L9" s="72">
        <f>IF($E9=6,IF($A$11=1,$A$17*Data!$C10/1000,$A$17*Data!$D10/1000),"")</f>
      </c>
      <c r="M9" s="73">
        <f t="shared" si="1"/>
      </c>
      <c r="N9" s="73">
        <f>IF(SUM(G9:L9)=0,"",IF((F9-D9)&lt;Data!B10,"X",""))</f>
      </c>
      <c r="O9" s="74">
        <f>IF(D9="","",IF($A$11=1,$A$17*Data!$C10,$A$17*Data!$D10))</f>
        <v>56249.38107896794</v>
      </c>
      <c r="T9"/>
    </row>
    <row r="10" spans="1:20" ht="13.5" customHeight="1">
      <c r="A10" s="97" t="s">
        <v>27</v>
      </c>
      <c r="B10" s="98"/>
      <c r="C10" s="63" t="s">
        <v>28</v>
      </c>
      <c r="D10" s="45">
        <v>1995</v>
      </c>
      <c r="E10" s="69">
        <f>IF(D10&gt;1,Data!B11-(B$1-D10),"")</f>
        <v>4</v>
      </c>
      <c r="F10" s="70">
        <f t="shared" si="0"/>
        <v>2015</v>
      </c>
      <c r="G10" s="71">
        <f>IF($E10="","",IF($E10&lt;=1,IF($A$11=1,$A$17*Data!$C11/1000,$A$17*Data!$D11/1000),""))</f>
      </c>
      <c r="H10" s="72">
        <f>IF($E10=2,IF($A$11=1,$A$17*Data!$C11/1000,$A$17*Data!$D11/1000),"")</f>
      </c>
      <c r="I10" s="72">
        <f>IF($E10=3,IF($A$11=1,$A$17*Data!$C11/1000,$A$17*Data!$D11/1000),"")</f>
      </c>
      <c r="J10" s="72">
        <f>IF($E10=4,IF($A$11=1,$A$17*Data!$C11/1000,$A$17*Data!$D11/1000),"")</f>
        <v>649.0768</v>
      </c>
      <c r="K10" s="72">
        <f>IF($E10=5,IF($A$11=1,$A$17*Data!$C11/1000,$A$17*Data!$D11/1000),"")</f>
      </c>
      <c r="L10" s="72">
        <f>IF($E10=6,IF($A$11=1,$A$17*Data!$C11/1000,$A$17*Data!$D11/1000),"")</f>
      </c>
      <c r="M10" s="73">
        <f t="shared" si="1"/>
      </c>
      <c r="N10" s="73">
        <f>IF(SUM(G10:L10)=0,"",IF((F10-D10)&lt;Data!B11,"X",""))</f>
      </c>
      <c r="O10" s="74">
        <f>IF(D10="","",IF($A$11=1,$A$17*Data!$C11,$A$17*Data!$D11))</f>
        <v>649076.8</v>
      </c>
      <c r="T10"/>
    </row>
    <row r="11" spans="1:20" ht="13.5" customHeight="1">
      <c r="A11" s="109">
        <v>2</v>
      </c>
      <c r="B11" s="110"/>
      <c r="C11" s="63" t="s">
        <v>29</v>
      </c>
      <c r="D11" s="45">
        <v>1995</v>
      </c>
      <c r="E11" s="69">
        <f>IF(D11&gt;1,Data!B12-(B$1-D11),"")</f>
        <v>34</v>
      </c>
      <c r="F11" s="70">
        <f t="shared" si="0"/>
        <v>2045</v>
      </c>
      <c r="G11" s="71">
        <f>IF($E11="","",IF($E11&lt;=1,IF($A$11=1,$A$17*Data!$C12/1000,$A$17*Data!$D12/1000),""))</f>
      </c>
      <c r="H11" s="72">
        <f>IF($E11=2,IF($A$11=1,$A$17*Data!$C12/1000,$A$17*Data!$D12/1000),"")</f>
      </c>
      <c r="I11" s="72">
        <f>IF($E11=3,IF($A$11=1,$A$17*Data!$C12/1000,$A$17*Data!$D12/1000),"")</f>
      </c>
      <c r="J11" s="72">
        <f>IF($E11=4,IF($A$11=1,$A$17*Data!$C12/1000,$A$17*Data!$D12/1000),"")</f>
      </c>
      <c r="K11" s="72">
        <f>IF($E11=5,IF($A$11=1,$A$17*Data!$C12/1000,$A$17*Data!$D12/1000),"")</f>
      </c>
      <c r="L11" s="72">
        <f>IF($E11=6,IF($A$11=1,$A$17*Data!$C12/1000,$A$17*Data!$D12/1000),"")</f>
      </c>
      <c r="M11" s="73">
        <f t="shared" si="1"/>
      </c>
      <c r="N11" s="73">
        <f>IF(SUM(G11:L11)=0,"",IF((F11-D11)&lt;Data!B12,"X",""))</f>
      </c>
      <c r="O11" s="74">
        <f>IF(D11="","",IF($A$11=1,$A$17*Data!$C12,$A$17*Data!$D12))</f>
        <v>673305.6</v>
      </c>
      <c r="T11"/>
    </row>
    <row r="12" spans="1:20" ht="13.5" customHeight="1">
      <c r="A12" s="111"/>
      <c r="B12" s="112"/>
      <c r="C12" s="63" t="s">
        <v>30</v>
      </c>
      <c r="D12" s="45">
        <v>1995</v>
      </c>
      <c r="E12" s="69">
        <f>IF(D12&gt;1,Data!B13-(B$1-D12),"")</f>
        <v>14</v>
      </c>
      <c r="F12" s="70">
        <f t="shared" si="0"/>
        <v>2025</v>
      </c>
      <c r="G12" s="71">
        <f>IF($E12="","",IF($E12&lt;=1,IF($A$11=1,$A$17*Data!$C13/1000,$A$17*Data!$D13/1000),""))</f>
      </c>
      <c r="H12" s="72">
        <f>IF($E12=2,IF($A$11=1,$A$17*Data!$C13/1000,$A$17*Data!$D13/1000),"")</f>
      </c>
      <c r="I12" s="72">
        <f>IF($E12=3,IF($A$11=1,$A$17*Data!$C13/1000,$A$17*Data!$D13/1000),"")</f>
      </c>
      <c r="J12" s="72">
        <f>IF($E12=4,IF($A$11=1,$A$17*Data!$C13/1000,$A$17*Data!$D13/1000),"")</f>
      </c>
      <c r="K12" s="72">
        <f>IF($E12=5,IF($A$11=1,$A$17*Data!$C13/1000,$A$17*Data!$D13/1000),"")</f>
      </c>
      <c r="L12" s="72">
        <f>IF($E12=6,IF($A$11=1,$A$17*Data!$C13/1000,$A$17*Data!$D13/1000),"")</f>
      </c>
      <c r="M12" s="73">
        <f t="shared" si="1"/>
      </c>
      <c r="N12" s="73">
        <f>IF(SUM(G12:L12)=0,"",IF((F12-D12)&lt;Data!B13,"X",""))</f>
      </c>
      <c r="O12" s="74">
        <f>IF(D12="","",IF($A$11=1,$A$17*Data!$C13,$A$17*Data!$D13))</f>
        <v>219953.0564503518</v>
      </c>
      <c r="T12"/>
    </row>
    <row r="13" spans="1:20" ht="13.5" customHeight="1">
      <c r="A13" s="85" t="s">
        <v>31</v>
      </c>
      <c r="B13" s="86"/>
      <c r="C13" s="63" t="s">
        <v>32</v>
      </c>
      <c r="D13" s="45">
        <v>1995</v>
      </c>
      <c r="E13" s="69">
        <f>IF(D13&gt;1,Data!B14-(B$1-D13),"")</f>
        <v>-1</v>
      </c>
      <c r="F13" s="70">
        <f t="shared" si="0"/>
        <v>2010</v>
      </c>
      <c r="G13" s="71">
        <f>IF($E13="","",IF($E13&lt;=1,IF($A$11=1,$A$17*Data!$C14/1000,$A$17*Data!$D14/1000),""))</f>
        <v>715.7142254886629</v>
      </c>
      <c r="H13" s="72">
        <f>IF($E13=2,IF($A$11=1,$A$17*Data!$C14/1000,$A$17*Data!$D14/1000),"")</f>
      </c>
      <c r="I13" s="72">
        <f>IF($E13=3,IF($A$11=1,$A$17*Data!$C14/1000,$A$17*Data!$D14/1000),"")</f>
      </c>
      <c r="J13" s="72">
        <f>IF($E13=4,IF($A$11=1,$A$17*Data!$C14/1000,$A$17*Data!$D14/1000),"")</f>
      </c>
      <c r="K13" s="72">
        <f>IF($E13=5,IF($A$11=1,$A$17*Data!$C14/1000,$A$17*Data!$D14/1000),"")</f>
      </c>
      <c r="L13" s="72">
        <f>IF($E13=6,IF($A$11=1,$A$17*Data!$C14/1000,$A$17*Data!$D14/1000),"")</f>
      </c>
      <c r="M13" s="73" t="str">
        <f t="shared" si="1"/>
        <v>X</v>
      </c>
      <c r="N13" s="73">
        <f>IF(SUM(G13:L13)=0,"",IF((F13-D13)&lt;Data!B14,"X",""))</f>
      </c>
      <c r="O13" s="74">
        <f>IF(D13="","",IF($A$11=1,$A$17*Data!$C14,$A$17*Data!$D14))</f>
        <v>715714.225488663</v>
      </c>
      <c r="T13"/>
    </row>
    <row r="14" spans="1:20" ht="13.5" customHeight="1">
      <c r="A14" s="79" t="s">
        <v>64</v>
      </c>
      <c r="B14" s="80"/>
      <c r="C14" s="63" t="s">
        <v>33</v>
      </c>
      <c r="D14" s="45">
        <v>1995</v>
      </c>
      <c r="E14" s="69">
        <f>IF(D14&gt;1,Data!B15-(B$1-D14),"")</f>
        <v>9</v>
      </c>
      <c r="F14" s="70">
        <f t="shared" si="0"/>
        <v>2020</v>
      </c>
      <c r="G14" s="71">
        <f>IF($E14="","",IF($E14&lt;=1,IF($A$11=1,$A$17*Data!$C15/1000,$A$17*Data!$D15/1000),""))</f>
      </c>
      <c r="H14" s="72">
        <f>IF($E14=2,IF($A$11=1,$A$17*Data!$C15/1000,$A$17*Data!$D15/1000),"")</f>
      </c>
      <c r="I14" s="72">
        <f>IF($E14=3,IF($A$11=1,$A$17*Data!$C15/1000,$A$17*Data!$D15/1000),"")</f>
      </c>
      <c r="J14" s="72">
        <f>IF($E14=4,IF($A$11=1,$A$17*Data!$C15/1000,$A$17*Data!$D15/1000),"")</f>
      </c>
      <c r="K14" s="72">
        <f>IF($E14=5,IF($A$11=1,$A$17*Data!$C15/1000,$A$17*Data!$D15/1000),"")</f>
      </c>
      <c r="L14" s="72">
        <f>IF($E14=6,IF($A$11=1,$A$17*Data!$C15/1000,$A$17*Data!$D15/1000),"")</f>
      </c>
      <c r="M14" s="73">
        <f t="shared" si="1"/>
      </c>
      <c r="N14" s="73">
        <f>IF(SUM(G14:L14)=0,"",IF((F14-D14)&lt;Data!B15,"X",""))</f>
      </c>
      <c r="O14" s="74">
        <f>IF(D14="","",IF($A$11=1,$A$17*Data!$C15,$A$17*Data!$D15))</f>
        <v>276718.39999999997</v>
      </c>
      <c r="T14"/>
    </row>
    <row r="15" spans="1:20" ht="13.5" customHeight="1">
      <c r="A15" s="83"/>
      <c r="B15" s="84"/>
      <c r="C15" s="63" t="s">
        <v>34</v>
      </c>
      <c r="D15" s="45">
        <v>1995</v>
      </c>
      <c r="E15" s="69">
        <f>IF(D15&gt;1,Data!B16-(B$1-D15),"")</f>
        <v>9</v>
      </c>
      <c r="F15" s="70">
        <f t="shared" si="0"/>
        <v>2020</v>
      </c>
      <c r="G15" s="71">
        <f>IF($E15="","",IF($E15&lt;=1,IF($A$11=1,$A$17*Data!$C16/1000,$A$17*Data!$D16/1000),""))</f>
      </c>
      <c r="H15" s="72">
        <f>IF($E15=2,IF($A$11=1,$A$17*Data!$C16/1000,$A$17*Data!$D16/1000),"")</f>
      </c>
      <c r="I15" s="72">
        <f>IF($E15=3,IF($A$11=1,$A$17*Data!$C16/1000,$A$17*Data!$D16/1000),"")</f>
      </c>
      <c r="J15" s="72">
        <f>IF($E15=4,IF($A$11=1,$A$17*Data!$C16/1000,$A$17*Data!$D16/1000),"")</f>
      </c>
      <c r="K15" s="72">
        <f>IF($E15=5,IF($A$11=1,$A$17*Data!$C16/1000,$A$17*Data!$D16/1000),"")</f>
      </c>
      <c r="L15" s="72">
        <f>IF($E15=6,IF($A$11=1,$A$17*Data!$C16/1000,$A$17*Data!$D16/1000),"")</f>
      </c>
      <c r="M15" s="73">
        <f t="shared" si="1"/>
      </c>
      <c r="N15" s="73">
        <f>IF(SUM(G15:L15)=0,"",IF((F15-D15)&lt;Data!B16,"X",""))</f>
      </c>
      <c r="O15" s="74">
        <f>IF(D15="","",IF($A$11=1,$A$17*Data!$C16,$A$17*Data!$D16))</f>
        <v>411252</v>
      </c>
      <c r="T15"/>
    </row>
    <row r="16" spans="1:20" ht="13.5" customHeight="1">
      <c r="A16" s="99" t="s">
        <v>57</v>
      </c>
      <c r="B16" s="100"/>
      <c r="C16" s="63" t="s">
        <v>35</v>
      </c>
      <c r="D16" s="45">
        <v>1995</v>
      </c>
      <c r="E16" s="69">
        <f>IF(D16&gt;1,Data!B17-(B$1-D16),"")</f>
        <v>24</v>
      </c>
      <c r="F16" s="70">
        <f t="shared" si="0"/>
        <v>2035</v>
      </c>
      <c r="G16" s="71">
        <f>IF($E16="","",IF($E16&lt;=1,IF($A$11=1,$A$17*Data!$C17/1000,$A$17*Data!$D17/1000),""))</f>
      </c>
      <c r="H16" s="72">
        <f>IF($E16=2,IF($A$11=1,$A$17*Data!$C17/1000,$A$17*Data!$D17/1000),"")</f>
      </c>
      <c r="I16" s="72">
        <f>IF($E16=3,IF($A$11=1,$A$17*Data!$C17/1000,$A$17*Data!$D17/1000),"")</f>
      </c>
      <c r="J16" s="72">
        <f>IF($E16=4,IF($A$11=1,$A$17*Data!$C17/1000,$A$17*Data!$D17/1000),"")</f>
      </c>
      <c r="K16" s="72">
        <f>IF($E16=5,IF($A$11=1,$A$17*Data!$C17/1000,$A$17*Data!$D17/1000),"")</f>
      </c>
      <c r="L16" s="72">
        <f>IF($E16=6,IF($A$11=1,$A$17*Data!$C17/1000,$A$17*Data!$D17/1000),"")</f>
      </c>
      <c r="M16" s="73">
        <f t="shared" si="1"/>
      </c>
      <c r="N16" s="73">
        <f>IF(SUM(G16:L16)=0,"",IF((F16-D16)&lt;Data!B17,"X",""))</f>
      </c>
      <c r="O16" s="74">
        <f>IF(D16="","",IF($A$11=1,$A$17*Data!$C17,$A$17*Data!$D17))</f>
        <v>375468.13322908524</v>
      </c>
      <c r="T16"/>
    </row>
    <row r="17" spans="1:20" ht="13.5" customHeight="1">
      <c r="A17" s="122">
        <v>12752000</v>
      </c>
      <c r="B17" s="123"/>
      <c r="C17" s="64" t="s">
        <v>36</v>
      </c>
      <c r="D17" s="45">
        <v>1995</v>
      </c>
      <c r="E17" s="69">
        <f>IF(D17&gt;1,Data!B18-(B$1-D17),"")</f>
        <v>24</v>
      </c>
      <c r="F17" s="70">
        <f t="shared" si="0"/>
        <v>2035</v>
      </c>
      <c r="G17" s="71">
        <f>IF($E17="","",IF($E17&lt;=1,IF($A$11=1,$A$17*Data!$C18/1000,$A$17*Data!$D18/1000),""))</f>
      </c>
      <c r="H17" s="72">
        <f>IF($E17=2,IF($A$11=1,$A$17*Data!$C18/1000,$A$17*Data!$D18/1000),"")</f>
      </c>
      <c r="I17" s="72">
        <f>IF($E17=3,IF($A$11=1,$A$17*Data!$C18/1000,$A$17*Data!$D18/1000),"")</f>
      </c>
      <c r="J17" s="72">
        <f>IF($E17=4,IF($A$11=1,$A$17*Data!$C18/1000,$A$17*Data!$D18/1000),"")</f>
      </c>
      <c r="K17" s="72">
        <f>IF($E17=5,IF($A$11=1,$A$17*Data!$C18/1000,$A$17*Data!$D18/1000),"")</f>
      </c>
      <c r="L17" s="72">
        <f>IF($E17=6,IF($A$11=1,$A$17*Data!$C18/1000,$A$17*Data!$D18/1000),"")</f>
      </c>
      <c r="M17" s="73">
        <f t="shared" si="1"/>
      </c>
      <c r="N17" s="73">
        <f>IF(SUM(G17:L17)=0,"",IF((F17-D17)&lt;Data!B18,"X",""))</f>
      </c>
      <c r="O17" s="74">
        <f>IF(D17="","",IF($A$11=1,$A$17*Data!$C18,$A$17*Data!$D18))</f>
        <v>48457.6</v>
      </c>
      <c r="T17"/>
    </row>
    <row r="18" spans="1:20" ht="13.5" customHeight="1">
      <c r="A18" s="124"/>
      <c r="B18" s="125"/>
      <c r="C18" s="63" t="s">
        <v>37</v>
      </c>
      <c r="D18" s="45">
        <v>1995</v>
      </c>
      <c r="E18" s="69">
        <f>IF(D18&gt;1,Data!B19-(B$1-D18),"")</f>
        <v>14</v>
      </c>
      <c r="F18" s="70">
        <f t="shared" si="0"/>
        <v>2025</v>
      </c>
      <c r="G18" s="71">
        <f>IF($E18="","",IF($E18&lt;=1,IF($A$11=1,$A$17*Data!$C19/1000,$A$17*Data!$D19/1000),""))</f>
      </c>
      <c r="H18" s="72">
        <f>IF($E18=2,IF($A$11=1,$A$17*Data!$C19/1000,$A$17*Data!$D19/1000),"")</f>
      </c>
      <c r="I18" s="72">
        <f>IF($E18=3,IF($A$11=1,$A$17*Data!$C19/1000,$A$17*Data!$D19/1000),"")</f>
      </c>
      <c r="J18" s="72">
        <f>IF($E18=4,IF($A$11=1,$A$17*Data!$C19/1000,$A$17*Data!$D19/1000),"")</f>
      </c>
      <c r="K18" s="72">
        <f>IF($E18=5,IF($A$11=1,$A$17*Data!$C19/1000,$A$17*Data!$D19/1000),"")</f>
      </c>
      <c r="L18" s="72">
        <f>IF($E18=6,IF($A$11=1,$A$17*Data!$C19/1000,$A$17*Data!$D19/1000),"")</f>
      </c>
      <c r="M18" s="73">
        <f t="shared" si="1"/>
      </c>
      <c r="N18" s="73">
        <f>IF(SUM(G18:L18)=0,"",IF((F18-D18)&lt;Data!B19,"X",""))</f>
      </c>
      <c r="O18" s="74">
        <f>IF(D18="","",IF($A$11=1,$A$17*Data!$C19,$A$17*Data!$D19))</f>
        <v>464810.39999999997</v>
      </c>
      <c r="T18"/>
    </row>
    <row r="19" spans="1:20" ht="13.5" customHeight="1">
      <c r="A19" s="105" t="s">
        <v>38</v>
      </c>
      <c r="B19" s="106"/>
      <c r="C19" s="63" t="s">
        <v>39</v>
      </c>
      <c r="D19" s="45">
        <v>1995</v>
      </c>
      <c r="E19" s="69">
        <f>IF(D19&gt;1,Data!B20-(B$1-D19),"")</f>
        <v>14</v>
      </c>
      <c r="F19" s="70">
        <f t="shared" si="0"/>
        <v>2025</v>
      </c>
      <c r="G19" s="71">
        <f>IF($E19="","",IF($E19&lt;=1,IF($A$11=1,$A$17*Data!$C20/1000,$A$17*Data!$D20/1000),""))</f>
      </c>
      <c r="H19" s="72">
        <f>IF($E19=2,IF($A$11=1,$A$17*Data!$C20/1000,$A$17*Data!$D20/1000),"")</f>
      </c>
      <c r="I19" s="72">
        <f>IF($E19=3,IF($A$11=1,$A$17*Data!$C20/1000,$A$17*Data!$D20/1000),"")</f>
      </c>
      <c r="J19" s="72">
        <f>IF($E19=4,IF($A$11=1,$A$17*Data!$C20/1000,$A$17*Data!$D20/1000),"")</f>
      </c>
      <c r="K19" s="72">
        <f>IF($E19=5,IF($A$11=1,$A$17*Data!$C20/1000,$A$17*Data!$D20/1000),"")</f>
      </c>
      <c r="L19" s="72">
        <f>IF($E19=6,IF($A$11=1,$A$17*Data!$C20/1000,$A$17*Data!$D20/1000),"")</f>
      </c>
      <c r="M19" s="73">
        <f t="shared" si="1"/>
      </c>
      <c r="N19" s="73">
        <f>IF(SUM(G19:L19)=0,"",IF((F19-D19)&lt;Data!B20,"X",""))</f>
      </c>
      <c r="O19" s="74">
        <f>IF(D19="","",IF($A$11=1,$A$17*Data!$C20,$A$17*Data!$D20))</f>
        <v>196380.80000000002</v>
      </c>
      <c r="T19"/>
    </row>
    <row r="20" spans="1:20" ht="13.5" customHeight="1">
      <c r="A20" s="79"/>
      <c r="B20" s="80"/>
      <c r="C20" s="63" t="s">
        <v>40</v>
      </c>
      <c r="D20" s="45">
        <v>1995</v>
      </c>
      <c r="E20" s="69">
        <f>IF(D20&gt;1,Data!B21-(B$1-D20),"")</f>
        <v>14</v>
      </c>
      <c r="F20" s="70">
        <f t="shared" si="0"/>
        <v>2025</v>
      </c>
      <c r="G20" s="71">
        <f>IF($E20="","",IF($E20&lt;=1,IF($A$11=1,$A$17*Data!$C21/1000,$A$17*Data!$D21/1000),""))</f>
      </c>
      <c r="H20" s="72">
        <f>IF($E20=2,IF($A$11=1,$A$17*Data!$C21/1000,$A$17*Data!$D21/1000),"")</f>
      </c>
      <c r="I20" s="72">
        <f>IF($E20=3,IF($A$11=1,$A$17*Data!$C21/1000,$A$17*Data!$D21/1000),"")</f>
      </c>
      <c r="J20" s="72">
        <f>IF($E20=4,IF($A$11=1,$A$17*Data!$C21/1000,$A$17*Data!$D21/1000),"")</f>
      </c>
      <c r="K20" s="72">
        <f>IF($E20=5,IF($A$11=1,$A$17*Data!$C21/1000,$A$17*Data!$D21/1000),"")</f>
      </c>
      <c r="L20" s="72">
        <f>IF($E20=6,IF($A$11=1,$A$17*Data!$C21/1000,$A$17*Data!$D21/1000),"")</f>
      </c>
      <c r="M20" s="73">
        <f t="shared" si="1"/>
      </c>
      <c r="N20" s="73">
        <f>IF(SUM(G20:L20)=0,"",IF((F20-D20)&lt;Data!B21,"X",""))</f>
      </c>
      <c r="O20" s="74">
        <f>IF(D20="","",IF($A$11=1,$A$17*Data!$C21,$A$17*Data!$D21))</f>
        <v>348767.2</v>
      </c>
      <c r="T20"/>
    </row>
    <row r="21" spans="1:20" ht="13.5" customHeight="1">
      <c r="A21" s="81"/>
      <c r="B21" s="82"/>
      <c r="C21" s="63" t="s">
        <v>41</v>
      </c>
      <c r="D21" s="45">
        <v>1995</v>
      </c>
      <c r="E21" s="69">
        <f>IF(D21&gt;1,Data!B22-(B$1-D21),"")</f>
        <v>24</v>
      </c>
      <c r="F21" s="70">
        <f t="shared" si="0"/>
        <v>2035</v>
      </c>
      <c r="G21" s="71">
        <f>IF($E21="","",IF($E21&lt;=1,IF($A$11=1,$A$17*Data!$C22/1000,$A$17*Data!$D22/1000),""))</f>
      </c>
      <c r="H21" s="72">
        <f>IF($E21=2,IF($A$11=1,$A$17*Data!$C22/1000,$A$17*Data!$D22/1000),"")</f>
      </c>
      <c r="I21" s="72">
        <f>IF($E21=3,IF($A$11=1,$A$17*Data!$C22/1000,$A$17*Data!$D22/1000),"")</f>
      </c>
      <c r="J21" s="72">
        <f>IF($E21=4,IF($A$11=1,$A$17*Data!$C22/1000,$A$17*Data!$D22/1000),"")</f>
      </c>
      <c r="K21" s="72">
        <f>IF($E21=5,IF($A$11=1,$A$17*Data!$C22/1000,$A$17*Data!$D22/1000),"")</f>
      </c>
      <c r="L21" s="72">
        <f>IF($E21=6,IF($A$11=1,$A$17*Data!$C22/1000,$A$17*Data!$D22/1000),"")</f>
      </c>
      <c r="M21" s="73">
        <f t="shared" si="1"/>
      </c>
      <c r="N21" s="73">
        <f>IF(SUM(G21:L21)=0,"",IF((F21-D21)&lt;Data!B22,"X",""))</f>
      </c>
      <c r="O21" s="74">
        <f>IF(D21="","",IF($A$11=1,$A$17*Data!$C22,$A$17*Data!$D22))</f>
        <v>669480</v>
      </c>
      <c r="T21"/>
    </row>
    <row r="22" spans="1:20" ht="13.5" customHeight="1">
      <c r="A22" s="81"/>
      <c r="B22" s="82"/>
      <c r="C22" s="63" t="s">
        <v>42</v>
      </c>
      <c r="D22" s="45">
        <v>1995</v>
      </c>
      <c r="E22" s="69">
        <f>IF(D22&gt;1,Data!B23-(B$1-D22),"")</f>
        <v>14</v>
      </c>
      <c r="F22" s="70">
        <f t="shared" si="0"/>
        <v>2025</v>
      </c>
      <c r="G22" s="71">
        <f>IF($E22="","",IF($E22&lt;=1,IF($A$11=1,$A$17*Data!$C23/1000,$A$17*Data!$D23/1000),""))</f>
      </c>
      <c r="H22" s="72">
        <f>IF($E22=2,IF($A$11=1,$A$17*Data!$C23/1000,$A$17*Data!$D23/1000),"")</f>
      </c>
      <c r="I22" s="72">
        <f>IF($E22=3,IF($A$11=1,$A$17*Data!$C23/1000,$A$17*Data!$D23/1000),"")</f>
      </c>
      <c r="J22" s="72">
        <f>IF($E22=4,IF($A$11=1,$A$17*Data!$C23/1000,$A$17*Data!$D23/1000),"")</f>
      </c>
      <c r="K22" s="72">
        <f>IF($E22=5,IF($A$11=1,$A$17*Data!$C23/1000,$A$17*Data!$D23/1000),"")</f>
      </c>
      <c r="L22" s="72">
        <f>IF($E22=6,IF($A$11=1,$A$17*Data!$C23/1000,$A$17*Data!$D23/1000),"")</f>
      </c>
      <c r="M22" s="73">
        <f t="shared" si="1"/>
      </c>
      <c r="N22" s="73">
        <f>IF(SUM(G22:L22)=0,"",IF((F22-D22)&lt;Data!B23,"X",""))</f>
      </c>
      <c r="O22" s="74">
        <f>IF(D22="","",IF($A$11=1,$A$17*Data!$C23,$A$17*Data!$D23))</f>
        <v>1370840.0000000002</v>
      </c>
      <c r="T22"/>
    </row>
    <row r="23" spans="1:20" ht="13.5" customHeight="1">
      <c r="A23" s="81"/>
      <c r="B23" s="82"/>
      <c r="C23" s="63" t="s">
        <v>43</v>
      </c>
      <c r="D23" s="45">
        <v>1995</v>
      </c>
      <c r="E23" s="69">
        <f>IF(D23&gt;1,Data!B24-(B$1-D23),"")</f>
        <v>4</v>
      </c>
      <c r="F23" s="70">
        <f t="shared" si="0"/>
        <v>2015</v>
      </c>
      <c r="G23" s="71">
        <f>IF($E23="","",IF($E23&lt;=1,IF($A$11=1,$A$17*Data!$C24/1000,$A$17*Data!$D24/1000),""))</f>
      </c>
      <c r="H23" s="72">
        <f>IF($E23=2,IF($A$11=1,$A$17*Data!$C24/1000,$A$17*Data!$D24/1000),"")</f>
      </c>
      <c r="I23" s="72">
        <f>IF($E23=3,IF($A$11=1,$A$17*Data!$C24/1000,$A$17*Data!$D24/1000),"")</f>
      </c>
      <c r="J23" s="72">
        <f>IF($E23=4,IF($A$11=1,$A$17*Data!$C24/1000,$A$17*Data!$D24/1000),"")</f>
        <v>318.16240000000005</v>
      </c>
      <c r="K23" s="72">
        <f>IF($E23=5,IF($A$11=1,$A$17*Data!$C24/1000,$A$17*Data!$D24/1000),"")</f>
      </c>
      <c r="L23" s="72">
        <f>IF($E23=6,IF($A$11=1,$A$17*Data!$C24/1000,$A$17*Data!$D24/1000),"")</f>
      </c>
      <c r="M23" s="73">
        <f t="shared" si="1"/>
      </c>
      <c r="N23" s="73">
        <f>IF(SUM(G23:L23)=0,"",IF((F23-D23)&lt;Data!B24,"X",""))</f>
      </c>
      <c r="O23" s="74">
        <f>IF(D23="","",IF($A$11=1,$A$17*Data!$C24,$A$17*Data!$D24))</f>
        <v>318162.4</v>
      </c>
      <c r="T23"/>
    </row>
    <row r="24" spans="1:20" ht="13.5" customHeight="1">
      <c r="A24" s="81"/>
      <c r="B24" s="82"/>
      <c r="C24" s="64" t="s">
        <v>44</v>
      </c>
      <c r="D24" s="45">
        <v>1995</v>
      </c>
      <c r="E24" s="69">
        <f>IF(D24&gt;1,Data!B25-(B$1-D24),"")</f>
        <v>24</v>
      </c>
      <c r="F24" s="70">
        <f t="shared" si="0"/>
        <v>2035</v>
      </c>
      <c r="G24" s="71">
        <f>IF($E24="","",IF($E24&lt;=1,IF($A$11=1,$A$17*Data!$C25/1000,$A$17*Data!$D25/1000),""))</f>
      </c>
      <c r="H24" s="72">
        <f>IF($E24=2,IF($A$11=1,$A$17*Data!$C25/1000,$A$17*Data!$D25/1000),"")</f>
      </c>
      <c r="I24" s="72">
        <f>IF($E24=3,IF($A$11=1,$A$17*Data!$C25/1000,$A$17*Data!$D25/1000),"")</f>
      </c>
      <c r="J24" s="72">
        <f>IF($E24=4,IF($A$11=1,$A$17*Data!$C25/1000,$A$17*Data!$D25/1000),"")</f>
      </c>
      <c r="K24" s="72">
        <f>IF($E24=5,IF($A$11=1,$A$17*Data!$C25/1000,$A$17*Data!$D25/1000),"")</f>
      </c>
      <c r="L24" s="72">
        <f>IF($E24=6,IF($A$11=1,$A$17*Data!$C25/1000,$A$17*Data!$D25/1000),"")</f>
      </c>
      <c r="M24" s="73">
        <f t="shared" si="1"/>
      </c>
      <c r="N24" s="73">
        <f>IF(SUM(G24:L24)=0,"",IF((F24-D24)&lt;Data!B25,"X",""))</f>
      </c>
      <c r="O24" s="74">
        <f>IF(D24="","",IF($A$11=1,$A$17*Data!$C25,$A$17*Data!$D25))</f>
        <v>341350.30179827986</v>
      </c>
      <c r="T24"/>
    </row>
    <row r="25" spans="1:20" ht="13.5" customHeight="1">
      <c r="A25" s="81"/>
      <c r="B25" s="82"/>
      <c r="C25" s="63" t="s">
        <v>45</v>
      </c>
      <c r="D25" s="45">
        <v>1995</v>
      </c>
      <c r="E25" s="69">
        <f>IF(D25&gt;1,Data!B26-(B$1-D25),"")</f>
        <v>34</v>
      </c>
      <c r="F25" s="70">
        <f t="shared" si="0"/>
        <v>2045</v>
      </c>
      <c r="G25" s="71">
        <f>IF($E25="","",IF($E25&lt;=1,IF($A$11=1,$A$17*Data!$C26/1000,$A$17*Data!$D26/1000),""))</f>
      </c>
      <c r="H25" s="72">
        <f>IF($E25=2,IF($A$11=1,$A$17*Data!$C26/1000,$A$17*Data!$D26/1000),"")</f>
      </c>
      <c r="I25" s="72">
        <f>IF($E25=3,IF($A$11=1,$A$17*Data!$C26/1000,$A$17*Data!$D26/1000),"")</f>
      </c>
      <c r="J25" s="72">
        <f>IF($E25=4,IF($A$11=1,$A$17*Data!$C26/1000,$A$17*Data!$D26/1000),"")</f>
      </c>
      <c r="K25" s="72">
        <f>IF($E25=5,IF($A$11=1,$A$17*Data!$C26/1000,$A$17*Data!$D26/1000),"")</f>
      </c>
      <c r="L25" s="72">
        <f>IF($E25=6,IF($A$11=1,$A$17*Data!$C26/1000,$A$17*Data!$D26/1000),"")</f>
      </c>
      <c r="M25" s="73">
        <f t="shared" si="1"/>
      </c>
      <c r="N25" s="73">
        <f>IF(SUM(G25:L25)=0,"",IF((F25-D25)&lt;Data!B26,"X",""))</f>
      </c>
      <c r="O25" s="74">
        <f>IF(D25="","",IF($A$11=1,$A$17*Data!$C26,$A$17*Data!$D26))</f>
        <v>351955.2</v>
      </c>
      <c r="T25"/>
    </row>
    <row r="26" spans="1:20" ht="13.5" customHeight="1">
      <c r="A26" s="81"/>
      <c r="B26" s="82"/>
      <c r="C26" s="63" t="s">
        <v>46</v>
      </c>
      <c r="D26" s="45">
        <v>1995</v>
      </c>
      <c r="E26" s="69">
        <f>IF(D26&gt;1,Data!B27-(B$1-D26),"")</f>
        <v>9</v>
      </c>
      <c r="F26" s="70">
        <f t="shared" si="0"/>
        <v>2020</v>
      </c>
      <c r="G26" s="71">
        <f>IF($E26="","",IF($E26&lt;=1,IF($A$11=1,$A$17*Data!$C27/1000,$A$17*Data!$D27/1000),""))</f>
      </c>
      <c r="H26" s="72">
        <f>IF($E26=2,IF($A$11=1,$A$17*Data!$C27/1000,$A$17*Data!$D27/1000),"")</f>
      </c>
      <c r="I26" s="72">
        <f>IF($E26=3,IF($A$11=1,$A$17*Data!$C27/1000,$A$17*Data!$D27/1000),"")</f>
      </c>
      <c r="J26" s="72">
        <f>IF($E26=4,IF($A$11=1,$A$17*Data!$C27/1000,$A$17*Data!$D27/1000),"")</f>
      </c>
      <c r="K26" s="72">
        <f>IF($E26=5,IF($A$11=1,$A$17*Data!$C27/1000,$A$17*Data!$D27/1000),"")</f>
      </c>
      <c r="L26" s="72">
        <f>IF($E26=6,IF($A$11=1,$A$17*Data!$C27/1000,$A$17*Data!$D27/1000),"")</f>
      </c>
      <c r="M26" s="73">
        <f t="shared" si="1"/>
      </c>
      <c r="N26" s="73">
        <f>IF(SUM(G26:L26)=0,"",IF((F26-D26)&lt;Data!B27,"X",""))</f>
      </c>
      <c r="O26" s="74">
        <f>IF(D26="","",IF($A$11=1,$A$17*Data!$C27,$A$17*Data!$D27))</f>
        <v>771496</v>
      </c>
      <c r="T26"/>
    </row>
    <row r="27" spans="1:20" ht="13.5" customHeight="1">
      <c r="A27" s="83"/>
      <c r="B27" s="84"/>
      <c r="C27" s="63" t="s">
        <v>47</v>
      </c>
      <c r="D27" s="45">
        <v>1995</v>
      </c>
      <c r="E27" s="69">
        <f>IF(D27&gt;1,Data!B28-(B$1-D27),"")</f>
        <v>-1</v>
      </c>
      <c r="F27" s="70">
        <f t="shared" si="0"/>
        <v>2010</v>
      </c>
      <c r="G27" s="71">
        <f>IF($E27="","",IF($E27&lt;=1,IF($A$11=1,$A$17*Data!$C28/1000,$A$17*Data!$D28/1000),""))</f>
        <v>357.0559999999999</v>
      </c>
      <c r="H27" s="72">
        <f>IF($E27=2,IF($A$11=1,$A$17*Data!$C28/1000,$A$17*Data!$D28/1000),"")</f>
      </c>
      <c r="I27" s="72">
        <f>IF($E27=3,IF($A$11=1,$A$17*Data!$C28/1000,$A$17*Data!$D28/1000),"")</f>
      </c>
      <c r="J27" s="72">
        <f>IF($E27=4,IF($A$11=1,$A$17*Data!$C28/1000,$A$17*Data!$D28/1000),"")</f>
      </c>
      <c r="K27" s="72">
        <f>IF($E27=5,IF($A$11=1,$A$17*Data!$C28/1000,$A$17*Data!$D28/1000),"")</f>
      </c>
      <c r="L27" s="72">
        <f>IF($E27=6,IF($A$11=1,$A$17*Data!$C28/1000,$A$17*Data!$D28/1000),"")</f>
      </c>
      <c r="M27" s="73" t="str">
        <f t="shared" si="1"/>
        <v>X</v>
      </c>
      <c r="N27" s="73">
        <f>IF(SUM(G27:L27)=0,"",IF((F27-D27)&lt;Data!B28,"X",""))</f>
      </c>
      <c r="O27" s="74">
        <f>IF(D27="","",IF($A$11=1,$A$17*Data!$C28,$A$17*Data!$D28))</f>
        <v>357055.99999999994</v>
      </c>
      <c r="T27"/>
    </row>
    <row r="28" spans="1:20" ht="13.5" customHeight="1" thickBot="1">
      <c r="A28" s="107" t="s">
        <v>56</v>
      </c>
      <c r="B28" s="108"/>
      <c r="C28" s="65" t="s">
        <v>48</v>
      </c>
      <c r="D28" s="56"/>
      <c r="E28" s="57"/>
      <c r="F28" s="58"/>
      <c r="G28" s="59"/>
      <c r="H28" s="60"/>
      <c r="I28" s="60"/>
      <c r="J28" s="60"/>
      <c r="K28" s="60"/>
      <c r="L28" s="60"/>
      <c r="M28" s="61"/>
      <c r="N28" s="61"/>
      <c r="O28" s="68"/>
      <c r="T28"/>
    </row>
    <row r="29" spans="1:20" ht="13.5" customHeight="1" thickBot="1">
      <c r="A29" s="77">
        <f>IF(A17=0," ",G29*1000/A17)</f>
        <v>0.08412564503518373</v>
      </c>
      <c r="B29" s="78"/>
      <c r="C29" s="13" t="s">
        <v>49</v>
      </c>
      <c r="D29" s="14"/>
      <c r="E29" s="15"/>
      <c r="F29" s="16"/>
      <c r="G29" s="75">
        <f aca="true" t="shared" si="2" ref="G29:L29">SUM(G5:G28)</f>
        <v>1072.7702254886628</v>
      </c>
      <c r="H29" s="75">
        <f t="shared" si="2"/>
        <v>0</v>
      </c>
      <c r="I29" s="75">
        <f t="shared" si="2"/>
        <v>0</v>
      </c>
      <c r="J29" s="75">
        <f t="shared" si="2"/>
        <v>1023.4885810789681</v>
      </c>
      <c r="K29" s="75">
        <f t="shared" si="2"/>
        <v>0</v>
      </c>
      <c r="L29" s="75">
        <f t="shared" si="2"/>
        <v>0</v>
      </c>
      <c r="M29" s="95">
        <f>SUM(G29:L29)*1000</f>
        <v>2096258.806567631</v>
      </c>
      <c r="N29" s="96"/>
      <c r="O29" s="76" t="s">
        <v>50</v>
      </c>
      <c r="T29"/>
    </row>
    <row r="30" ht="13.5" thickTop="1">
      <c r="C30" s="33"/>
    </row>
    <row r="31" ht="12.75">
      <c r="C31" s="18"/>
    </row>
  </sheetData>
  <sheetProtection/>
  <mergeCells count="21">
    <mergeCell ref="A29:B29"/>
    <mergeCell ref="A20:B27"/>
    <mergeCell ref="A14:B15"/>
    <mergeCell ref="A13:B13"/>
    <mergeCell ref="O1:O2"/>
    <mergeCell ref="F1:L1"/>
    <mergeCell ref="C1:E1"/>
    <mergeCell ref="M1:M2"/>
    <mergeCell ref="M29:N29"/>
    <mergeCell ref="A10:B10"/>
    <mergeCell ref="A16:B16"/>
    <mergeCell ref="A17:B18"/>
    <mergeCell ref="A19:B19"/>
    <mergeCell ref="A28:B28"/>
    <mergeCell ref="A11:B12"/>
    <mergeCell ref="A6:B6"/>
    <mergeCell ref="A7:B7"/>
    <mergeCell ref="A8:B9"/>
    <mergeCell ref="N1:N2"/>
    <mergeCell ref="A2:B2"/>
    <mergeCell ref="A3:B3"/>
  </mergeCells>
  <printOptions verticalCentered="1"/>
  <pageMargins left="0.38" right="0.39" top="1" bottom="1" header="0.5" footer="0.5"/>
  <pageSetup horizontalDpi="600" verticalDpi="600" orientation="landscape" r:id="rId1"/>
  <headerFooter alignWithMargins="0">
    <oddHeader>&amp;CRenewal and Replacement Schedule</oddHeader>
    <oddFooter>&amp;LAttachment 4&amp;CPM Standards BP&amp;RPage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lewhite</dc:creator>
  <cp:keywords/>
  <dc:description/>
  <cp:lastModifiedBy>Kim Andrews</cp:lastModifiedBy>
  <cp:lastPrinted>2009-09-02T23:22:33Z</cp:lastPrinted>
  <dcterms:created xsi:type="dcterms:W3CDTF">2000-08-07T17:10:07Z</dcterms:created>
  <dcterms:modified xsi:type="dcterms:W3CDTF">2009-09-02T23:25:13Z</dcterms:modified>
  <cp:category/>
  <cp:version/>
  <cp:contentType/>
  <cp:contentStatus/>
</cp:coreProperties>
</file>